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Материалы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'1.Смета.или.Акт'!$46:$46</definedName>
    <definedName name="_xlnm.Print_Titles" localSheetId="0">'2.Материалы'!$20:$20</definedName>
    <definedName name="_xlnm.Print_Area" localSheetId="1">'1.Смета.или.Акт'!$A$1:$M$163</definedName>
    <definedName name="_xlnm.Print_Area" localSheetId="0">'2.Материалы'!$A$1:$G$58</definedName>
  </definedNames>
  <calcPr calcId="144525"/>
</workbook>
</file>

<file path=xl/calcChain.xml><?xml version="1.0" encoding="utf-8"?>
<calcChain xmlns="http://schemas.openxmlformats.org/spreadsheetml/2006/main">
  <c r="BZ54" i="8" l="1"/>
  <c r="BY54" i="8"/>
  <c r="BZ51" i="8"/>
  <c r="BY51" i="8"/>
  <c r="F37" i="8"/>
  <c r="F39" i="8"/>
  <c r="F42" i="8"/>
  <c r="F38" i="8"/>
  <c r="F41" i="8"/>
  <c r="F40" i="8"/>
  <c r="F43" i="8"/>
  <c r="F23" i="8"/>
  <c r="F25" i="8"/>
  <c r="F33" i="8"/>
  <c r="F31" i="8"/>
  <c r="F26" i="8"/>
  <c r="F28" i="8"/>
  <c r="F30" i="8"/>
  <c r="F29" i="8"/>
  <c r="F27" i="8"/>
  <c r="F22" i="8"/>
  <c r="F32" i="8"/>
  <c r="F24" i="8"/>
  <c r="F34" i="8"/>
  <c r="DK118" i="3"/>
  <c r="DI118" i="3"/>
  <c r="DK117" i="3"/>
  <c r="DI117" i="3"/>
  <c r="DK116" i="3"/>
  <c r="DI116" i="3"/>
  <c r="DK112" i="3"/>
  <c r="DI112" i="3"/>
  <c r="DK111" i="3"/>
  <c r="DI111" i="3"/>
  <c r="DK110" i="3"/>
  <c r="DI110" i="3"/>
  <c r="DK106" i="3"/>
  <c r="DI106" i="3"/>
  <c r="DK105" i="3"/>
  <c r="DI105" i="3"/>
  <c r="DK104" i="3"/>
  <c r="DI104" i="3"/>
  <c r="DK103" i="3"/>
  <c r="DJ103" i="3"/>
  <c r="DI103" i="3"/>
  <c r="DK98" i="3"/>
  <c r="DI98" i="3"/>
  <c r="DK97" i="3"/>
  <c r="DI97" i="3"/>
  <c r="DK96" i="3"/>
  <c r="DI96" i="3"/>
  <c r="DK95" i="3"/>
  <c r="DJ95" i="3"/>
  <c r="DI95" i="3"/>
  <c r="DK90" i="3"/>
  <c r="DJ90" i="3"/>
  <c r="DI90" i="3"/>
  <c r="DK88" i="3"/>
  <c r="DJ88" i="3"/>
  <c r="DI88" i="3"/>
  <c r="DK86" i="3"/>
  <c r="DJ86" i="3"/>
  <c r="DI86" i="3"/>
  <c r="DK81" i="3"/>
  <c r="DJ81" i="3"/>
  <c r="DI81" i="3"/>
  <c r="DK76" i="3"/>
  <c r="DJ76" i="3"/>
  <c r="DI76" i="3"/>
  <c r="DK75" i="3"/>
  <c r="DJ75" i="3"/>
  <c r="DI75" i="3"/>
  <c r="DK71" i="3"/>
  <c r="DJ71" i="3"/>
  <c r="DI71" i="3"/>
  <c r="DK70" i="3"/>
  <c r="DJ70" i="3"/>
  <c r="DI70" i="3"/>
  <c r="DK66" i="3"/>
  <c r="DJ66" i="3"/>
  <c r="DI66" i="3"/>
  <c r="DK65" i="3"/>
  <c r="DJ65" i="3"/>
  <c r="DI65" i="3"/>
  <c r="DK64" i="3"/>
  <c r="DJ64" i="3"/>
  <c r="DI64" i="3"/>
  <c r="DK59" i="3"/>
  <c r="DJ59" i="3"/>
  <c r="DI59" i="3"/>
  <c r="DK58" i="3"/>
  <c r="DJ58" i="3"/>
  <c r="DI58" i="3"/>
  <c r="DK57" i="3"/>
  <c r="DJ57" i="3"/>
  <c r="DI57" i="3"/>
  <c r="DK48" i="3"/>
  <c r="DI48" i="3"/>
  <c r="DK47" i="3"/>
  <c r="DJ47" i="3"/>
  <c r="DI47" i="3"/>
  <c r="DK46" i="3"/>
  <c r="DJ46" i="3"/>
  <c r="DI46" i="3"/>
  <c r="DK45" i="3"/>
  <c r="DJ45" i="3"/>
  <c r="DI45" i="3"/>
  <c r="DK44" i="3"/>
  <c r="DJ44" i="3"/>
  <c r="DI44" i="3"/>
  <c r="DK43" i="3"/>
  <c r="DJ43" i="3"/>
  <c r="DI43" i="3"/>
  <c r="DK39" i="3"/>
  <c r="DI39" i="3"/>
  <c r="DK38" i="3"/>
  <c r="DJ38" i="3"/>
  <c r="DI38" i="3"/>
  <c r="DK37" i="3"/>
  <c r="DJ37" i="3"/>
  <c r="DI37" i="3"/>
  <c r="DK36" i="3"/>
  <c r="DJ36" i="3"/>
  <c r="DI36" i="3"/>
  <c r="DK35" i="3"/>
  <c r="DJ35" i="3"/>
  <c r="DI35" i="3"/>
  <c r="DK34" i="3"/>
  <c r="DJ34" i="3"/>
  <c r="DI34" i="3"/>
  <c r="DK30" i="3"/>
  <c r="DJ30" i="3"/>
  <c r="DI30" i="3"/>
  <c r="DK29" i="3"/>
  <c r="DJ29" i="3"/>
  <c r="DI29" i="3"/>
  <c r="DK26" i="3"/>
  <c r="DJ26" i="3"/>
  <c r="DI26" i="3"/>
  <c r="DK25" i="3"/>
  <c r="DJ25" i="3"/>
  <c r="DI25" i="3"/>
  <c r="DK22" i="3"/>
  <c r="DJ22" i="3"/>
  <c r="DI22" i="3"/>
  <c r="DK19" i="3"/>
  <c r="DJ19" i="3"/>
  <c r="DI19" i="3"/>
  <c r="DK16" i="3"/>
  <c r="DJ16" i="3"/>
  <c r="DI16" i="3"/>
  <c r="DK15" i="3"/>
  <c r="DJ15" i="3"/>
  <c r="DI15" i="3"/>
  <c r="DK12" i="3"/>
  <c r="DJ12" i="3"/>
  <c r="DI12" i="3"/>
  <c r="DK11" i="3"/>
  <c r="DJ11" i="3"/>
  <c r="DI11" i="3"/>
  <c r="DK8" i="3"/>
  <c r="DJ8" i="3"/>
  <c r="DI8" i="3"/>
  <c r="DK4" i="3"/>
  <c r="DJ4" i="3"/>
  <c r="DI4" i="3"/>
  <c r="BS13" i="8"/>
  <c r="BR6" i="8"/>
  <c r="BR5" i="8"/>
  <c r="BR4" i="8"/>
  <c r="BR3" i="8"/>
  <c r="BZ159" i="6"/>
  <c r="BY159" i="6"/>
  <c r="BZ156" i="6"/>
  <c r="BY156" i="6"/>
  <c r="BZ150" i="6"/>
  <c r="BY150" i="6"/>
  <c r="BZ147" i="6"/>
  <c r="BY147" i="6"/>
  <c r="AC132" i="6"/>
  <c r="DY121" i="6"/>
  <c r="DX121" i="6"/>
  <c r="DD121" i="6"/>
  <c r="AC60" i="1"/>
  <c r="DW60" i="1"/>
  <c r="G60" i="1"/>
  <c r="F60" i="1"/>
  <c r="AC58" i="1"/>
  <c r="DW58" i="1"/>
  <c r="G58" i="1"/>
  <c r="F58" i="1"/>
  <c r="AC56" i="1"/>
  <c r="DW56" i="1"/>
  <c r="G56" i="1"/>
  <c r="F56" i="1"/>
  <c r="AU54" i="1"/>
  <c r="AT54" i="1"/>
  <c r="AE54" i="1"/>
  <c r="AD54" i="1"/>
  <c r="AF54" i="1"/>
  <c r="F110" i="6"/>
  <c r="AB54" i="1" s="1"/>
  <c r="I54" i="1"/>
  <c r="DH110" i="3" s="1"/>
  <c r="I55" i="1"/>
  <c r="DH117" i="3" s="1"/>
  <c r="DW54" i="1"/>
  <c r="AC52" i="1"/>
  <c r="DW52" i="1"/>
  <c r="G52" i="1"/>
  <c r="F52" i="1"/>
  <c r="AC50" i="1"/>
  <c r="DW50" i="1"/>
  <c r="G50" i="1"/>
  <c r="F50" i="1"/>
  <c r="AC48" i="1"/>
  <c r="DW48" i="1"/>
  <c r="G48" i="1"/>
  <c r="F48" i="1"/>
  <c r="AU46" i="1"/>
  <c r="AT46" i="1"/>
  <c r="AE46" i="1"/>
  <c r="AD46" i="1"/>
  <c r="AF46" i="1"/>
  <c r="F99" i="6" s="1"/>
  <c r="AB46" i="1" s="1"/>
  <c r="I46" i="1"/>
  <c r="DH98" i="3" s="1"/>
  <c r="I47" i="1"/>
  <c r="DH104" i="3" s="1"/>
  <c r="DW46" i="1"/>
  <c r="B98" i="6"/>
  <c r="AU44" i="1"/>
  <c r="AT44" i="1"/>
  <c r="AE44" i="1"/>
  <c r="AD44" i="1"/>
  <c r="F94" i="6" s="1"/>
  <c r="AF44" i="1"/>
  <c r="I44" i="1"/>
  <c r="C98" i="6" s="1"/>
  <c r="I45" i="1"/>
  <c r="DH90" i="3" s="1"/>
  <c r="DW44" i="1"/>
  <c r="AU42" i="1"/>
  <c r="AT42" i="1"/>
  <c r="AE42" i="1"/>
  <c r="AD42" i="1"/>
  <c r="AF42" i="1"/>
  <c r="F89" i="6" s="1"/>
  <c r="AB42" i="1" s="1"/>
  <c r="I42" i="1"/>
  <c r="B93" i="6" s="1"/>
  <c r="I43" i="1"/>
  <c r="DH86" i="3" s="1"/>
  <c r="DW42" i="1"/>
  <c r="AU40" i="1"/>
  <c r="AT40" i="1"/>
  <c r="AE40" i="1"/>
  <c r="AD40" i="1"/>
  <c r="AF40" i="1"/>
  <c r="F84" i="6"/>
  <c r="AB40" i="1" s="1"/>
  <c r="I40" i="1"/>
  <c r="C88" i="6" s="1"/>
  <c r="I41" i="1"/>
  <c r="DH76" i="3" s="1"/>
  <c r="DW40" i="1"/>
  <c r="C83" i="6"/>
  <c r="AU38" i="1"/>
  <c r="AT38" i="1"/>
  <c r="AE38" i="1"/>
  <c r="AD38" i="1"/>
  <c r="F79" i="6" s="1"/>
  <c r="AF38" i="1"/>
  <c r="I38" i="1"/>
  <c r="DH59" i="3" s="1"/>
  <c r="I39" i="1"/>
  <c r="DH66" i="3" s="1"/>
  <c r="DW38" i="1"/>
  <c r="AU36" i="1"/>
  <c r="AT36" i="1"/>
  <c r="AE36" i="1"/>
  <c r="AD36" i="1"/>
  <c r="AF36" i="1"/>
  <c r="F74" i="6"/>
  <c r="AB36" i="1" s="1"/>
  <c r="I36" i="1"/>
  <c r="C78" i="6" s="1"/>
  <c r="I37" i="1"/>
  <c r="DW36" i="1"/>
  <c r="AC34" i="1"/>
  <c r="DW34" i="1"/>
  <c r="G34" i="1"/>
  <c r="F34" i="1"/>
  <c r="AU32" i="1"/>
  <c r="AT32" i="1"/>
  <c r="AE32" i="1"/>
  <c r="AD32" i="1"/>
  <c r="AF32" i="1"/>
  <c r="F67" i="6"/>
  <c r="AB32" i="1" s="1"/>
  <c r="I32" i="1"/>
  <c r="DH39" i="3" s="1"/>
  <c r="I33" i="1"/>
  <c r="DH48" i="3" s="1"/>
  <c r="DW32" i="1"/>
  <c r="C66" i="6"/>
  <c r="AU30" i="1"/>
  <c r="AT30" i="1"/>
  <c r="AE30" i="1"/>
  <c r="AD30" i="1"/>
  <c r="F62" i="6" s="1"/>
  <c r="AF30" i="1"/>
  <c r="I30" i="1"/>
  <c r="DH26" i="3" s="1"/>
  <c r="I31" i="1"/>
  <c r="DH30" i="3" s="1"/>
  <c r="DW30" i="1"/>
  <c r="AU28" i="1"/>
  <c r="AT28" i="1"/>
  <c r="AE28" i="1"/>
  <c r="AD28" i="1"/>
  <c r="AF28" i="1"/>
  <c r="F57" i="6"/>
  <c r="AB28" i="1" s="1"/>
  <c r="I28" i="1"/>
  <c r="DH19" i="3" s="1"/>
  <c r="I29" i="1"/>
  <c r="DH22" i="3" s="1"/>
  <c r="DW28" i="1"/>
  <c r="C56" i="6"/>
  <c r="AU26" i="1"/>
  <c r="AT26" i="1"/>
  <c r="AE26" i="1"/>
  <c r="AD26" i="1"/>
  <c r="F52" i="6" s="1"/>
  <c r="AF26" i="1"/>
  <c r="I26" i="1"/>
  <c r="DH12" i="3" s="1"/>
  <c r="I27" i="1"/>
  <c r="DW26" i="1"/>
  <c r="AU24" i="1"/>
  <c r="AT24" i="1"/>
  <c r="AE24" i="1"/>
  <c r="AD24" i="1"/>
  <c r="AF24" i="1"/>
  <c r="F47" i="6"/>
  <c r="AB24" i="1" s="1"/>
  <c r="I24" i="1"/>
  <c r="I25" i="1"/>
  <c r="DH8" i="3" s="1"/>
  <c r="DW24" i="1"/>
  <c r="BT37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DH4" i="3" l="1"/>
  <c r="C51" i="6"/>
  <c r="B51" i="6"/>
  <c r="AB38" i="1"/>
  <c r="AB26" i="1"/>
  <c r="DH16" i="3"/>
  <c r="DH15" i="3"/>
  <c r="AB30" i="1"/>
  <c r="AB44" i="1"/>
  <c r="B56" i="6"/>
  <c r="B66" i="6"/>
  <c r="B83" i="6"/>
  <c r="C93" i="6"/>
  <c r="DH97" i="3"/>
  <c r="DH106" i="3"/>
  <c r="DH116" i="3"/>
  <c r="DH57" i="3"/>
  <c r="DH58" i="3"/>
  <c r="DH64" i="3"/>
  <c r="DH65" i="3"/>
  <c r="DH70" i="3"/>
  <c r="DH71" i="3"/>
  <c r="DH75" i="3"/>
  <c r="DH81" i="3"/>
  <c r="DH88" i="3"/>
  <c r="DH95" i="3"/>
  <c r="DH96" i="3"/>
  <c r="DH105" i="3"/>
  <c r="DH112" i="3"/>
  <c r="B61" i="6"/>
  <c r="B71" i="6"/>
  <c r="B78" i="6"/>
  <c r="B88" i="6"/>
  <c r="B103" i="6"/>
  <c r="B114" i="6"/>
  <c r="DH43" i="3"/>
  <c r="DH44" i="3"/>
  <c r="DH45" i="3"/>
  <c r="DH46" i="3"/>
  <c r="DH47" i="3"/>
  <c r="DH103" i="3"/>
  <c r="DH111" i="3"/>
  <c r="DH118" i="3"/>
  <c r="C61" i="6"/>
  <c r="C71" i="6"/>
  <c r="C103" i="6"/>
  <c r="C114" i="6"/>
  <c r="DH11" i="3"/>
  <c r="DH25" i="3"/>
  <c r="DH29" i="3"/>
  <c r="DH34" i="3"/>
  <c r="DH35" i="3"/>
  <c r="DH36" i="3"/>
  <c r="DH37" i="3"/>
  <c r="DH38" i="3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" i="3"/>
  <c r="CY1" i="3"/>
  <c r="CZ1" i="3"/>
  <c r="DA1" i="3"/>
  <c r="A2" i="3"/>
  <c r="CY2" i="3"/>
  <c r="CZ2" i="3"/>
  <c r="DA2" i="3"/>
  <c r="A3" i="3"/>
  <c r="CY3" i="3"/>
  <c r="CZ3" i="3"/>
  <c r="DA3" i="3"/>
  <c r="A4" i="3"/>
  <c r="CY4" i="3"/>
  <c r="CZ4" i="3"/>
  <c r="DA4" i="3"/>
  <c r="A5" i="3"/>
  <c r="CY5" i="3"/>
  <c r="CZ5" i="3"/>
  <c r="DA5" i="3"/>
  <c r="A6" i="3"/>
  <c r="CY6" i="3"/>
  <c r="CZ6" i="3"/>
  <c r="DA6" i="3"/>
  <c r="A7" i="3"/>
  <c r="CY7" i="3"/>
  <c r="CZ7" i="3"/>
  <c r="DA7" i="3"/>
  <c r="A8" i="3"/>
  <c r="CY8" i="3"/>
  <c r="CZ8" i="3"/>
  <c r="DA8" i="3"/>
  <c r="A9" i="3"/>
  <c r="CY9" i="3"/>
  <c r="CZ9" i="3"/>
  <c r="DA9" i="3"/>
  <c r="A10" i="3"/>
  <c r="CY10" i="3"/>
  <c r="CZ10" i="3"/>
  <c r="DA10" i="3"/>
  <c r="A11" i="3"/>
  <c r="CY11" i="3"/>
  <c r="CZ11" i="3"/>
  <c r="DA11" i="3"/>
  <c r="A12" i="3"/>
  <c r="CY12" i="3"/>
  <c r="CZ12" i="3"/>
  <c r="DA12" i="3"/>
  <c r="A13" i="3"/>
  <c r="CY13" i="3"/>
  <c r="CZ13" i="3"/>
  <c r="DA13" i="3"/>
  <c r="A14" i="3"/>
  <c r="CY14" i="3"/>
  <c r="CZ14" i="3"/>
  <c r="DA14" i="3"/>
  <c r="A15" i="3"/>
  <c r="CY15" i="3"/>
  <c r="CZ15" i="3"/>
  <c r="DA15" i="3"/>
  <c r="A16" i="3"/>
  <c r="CY16" i="3"/>
  <c r="CZ16" i="3"/>
  <c r="DA16" i="3"/>
  <c r="A17" i="3"/>
  <c r="CY17" i="3"/>
  <c r="CZ17" i="3"/>
  <c r="DA17" i="3"/>
  <c r="A18" i="3"/>
  <c r="CY18" i="3"/>
  <c r="CZ18" i="3"/>
  <c r="DA18" i="3"/>
  <c r="A19" i="3"/>
  <c r="CY19" i="3"/>
  <c r="CZ19" i="3"/>
  <c r="DA19" i="3"/>
  <c r="A20" i="3"/>
  <c r="CY20" i="3"/>
  <c r="CZ20" i="3"/>
  <c r="DA20" i="3"/>
  <c r="A21" i="3"/>
  <c r="CY21" i="3"/>
  <c r="CZ21" i="3"/>
  <c r="DA21" i="3"/>
  <c r="A22" i="3"/>
  <c r="CY22" i="3"/>
  <c r="CZ22" i="3"/>
  <c r="DA22" i="3"/>
  <c r="A23" i="3"/>
  <c r="CY23" i="3"/>
  <c r="CZ23" i="3"/>
  <c r="DA23" i="3"/>
  <c r="A24" i="3"/>
  <c r="CY24" i="3"/>
  <c r="CZ24" i="3"/>
  <c r="DA24" i="3"/>
  <c r="A25" i="3"/>
  <c r="CY25" i="3"/>
  <c r="CZ25" i="3"/>
  <c r="DA25" i="3"/>
  <c r="A26" i="3"/>
  <c r="CY26" i="3"/>
  <c r="CZ26" i="3"/>
  <c r="DA26" i="3"/>
  <c r="A27" i="3"/>
  <c r="CY27" i="3"/>
  <c r="CZ27" i="3"/>
  <c r="DA27" i="3"/>
  <c r="A28" i="3"/>
  <c r="CY28" i="3"/>
  <c r="CZ28" i="3"/>
  <c r="DA28" i="3"/>
  <c r="A29" i="3"/>
  <c r="CY29" i="3"/>
  <c r="CZ29" i="3"/>
  <c r="DA29" i="3"/>
  <c r="A30" i="3"/>
  <c r="CY30" i="3"/>
  <c r="CZ30" i="3"/>
  <c r="DA30" i="3"/>
  <c r="A31" i="3"/>
  <c r="CY31" i="3"/>
  <c r="CZ31" i="3"/>
  <c r="DA31" i="3"/>
  <c r="A32" i="3"/>
  <c r="CY32" i="3"/>
  <c r="CZ32" i="3"/>
  <c r="DA32" i="3"/>
  <c r="A33" i="3"/>
  <c r="CY33" i="3"/>
  <c r="CZ33" i="3"/>
  <c r="DA33" i="3"/>
  <c r="A34" i="3"/>
  <c r="CY34" i="3"/>
  <c r="CZ34" i="3"/>
  <c r="DA34" i="3"/>
  <c r="A35" i="3"/>
  <c r="CY35" i="3"/>
  <c r="CZ35" i="3"/>
  <c r="DA35" i="3"/>
  <c r="A36" i="3"/>
  <c r="CY36" i="3"/>
  <c r="CZ36" i="3"/>
  <c r="DA36" i="3"/>
  <c r="A37" i="3"/>
  <c r="CY37" i="3"/>
  <c r="CZ37" i="3"/>
  <c r="DA37" i="3"/>
  <c r="A38" i="3"/>
  <c r="CY38" i="3"/>
  <c r="CZ38" i="3"/>
  <c r="DA38" i="3"/>
  <c r="A39" i="3"/>
  <c r="CY39" i="3"/>
  <c r="CZ39" i="3"/>
  <c r="DA39" i="3"/>
  <c r="A40" i="3"/>
  <c r="CY40" i="3"/>
  <c r="CZ40" i="3"/>
  <c r="DA40" i="3"/>
  <c r="A41" i="3"/>
  <c r="CY41" i="3"/>
  <c r="CZ41" i="3"/>
  <c r="DA41" i="3"/>
  <c r="A42" i="3"/>
  <c r="CY42" i="3"/>
  <c r="CZ42" i="3"/>
  <c r="DA42" i="3"/>
  <c r="A43" i="3"/>
  <c r="CY43" i="3"/>
  <c r="CZ43" i="3"/>
  <c r="DA43" i="3"/>
  <c r="A44" i="3"/>
  <c r="CY44" i="3"/>
  <c r="CZ44" i="3"/>
  <c r="DA44" i="3"/>
  <c r="A45" i="3"/>
  <c r="CY45" i="3"/>
  <c r="CZ45" i="3"/>
  <c r="DA45" i="3"/>
  <c r="A46" i="3"/>
  <c r="CY46" i="3"/>
  <c r="CZ46" i="3"/>
  <c r="DA46" i="3"/>
  <c r="A47" i="3"/>
  <c r="CY47" i="3"/>
  <c r="CZ47" i="3"/>
  <c r="DA47" i="3"/>
  <c r="A48" i="3"/>
  <c r="CY48" i="3"/>
  <c r="CZ48" i="3"/>
  <c r="DA48" i="3"/>
  <c r="A49" i="3"/>
  <c r="CY49" i="3"/>
  <c r="CZ49" i="3"/>
  <c r="DA49" i="3"/>
  <c r="A50" i="3"/>
  <c r="CY50" i="3"/>
  <c r="CZ50" i="3"/>
  <c r="DA50" i="3"/>
  <c r="A51" i="3"/>
  <c r="CY51" i="3"/>
  <c r="CZ51" i="3"/>
  <c r="DA51" i="3"/>
  <c r="A52" i="3"/>
  <c r="CY52" i="3"/>
  <c r="CZ52" i="3"/>
  <c r="DA52" i="3"/>
  <c r="A53" i="3"/>
  <c r="CY53" i="3"/>
  <c r="CZ53" i="3"/>
  <c r="DA53" i="3"/>
  <c r="A54" i="3"/>
  <c r="CY54" i="3"/>
  <c r="CZ54" i="3"/>
  <c r="DA54" i="3"/>
  <c r="A55" i="3"/>
  <c r="CY55" i="3"/>
  <c r="CZ55" i="3"/>
  <c r="DA55" i="3"/>
  <c r="A56" i="3"/>
  <c r="CY56" i="3"/>
  <c r="CZ56" i="3"/>
  <c r="DA56" i="3"/>
  <c r="A57" i="3"/>
  <c r="CY57" i="3"/>
  <c r="CZ57" i="3"/>
  <c r="DA57" i="3"/>
  <c r="A58" i="3"/>
  <c r="CY58" i="3"/>
  <c r="CZ58" i="3"/>
  <c r="DA58" i="3"/>
  <c r="A59" i="3"/>
  <c r="CY59" i="3"/>
  <c r="CZ59" i="3"/>
  <c r="DA59" i="3"/>
  <c r="A60" i="3"/>
  <c r="CY60" i="3"/>
  <c r="CZ60" i="3"/>
  <c r="DA60" i="3"/>
  <c r="A61" i="3"/>
  <c r="CY61" i="3"/>
  <c r="CZ61" i="3"/>
  <c r="DA61" i="3"/>
  <c r="A62" i="3"/>
  <c r="CY62" i="3"/>
  <c r="CZ62" i="3"/>
  <c r="DA62" i="3"/>
  <c r="A63" i="3"/>
  <c r="CY63" i="3"/>
  <c r="CZ63" i="3"/>
  <c r="DA63" i="3"/>
  <c r="A64" i="3"/>
  <c r="CY64" i="3"/>
  <c r="CZ64" i="3"/>
  <c r="DA64" i="3"/>
  <c r="A65" i="3"/>
  <c r="CY65" i="3"/>
  <c r="CZ65" i="3"/>
  <c r="DA65" i="3"/>
  <c r="A66" i="3"/>
  <c r="CY66" i="3"/>
  <c r="CZ66" i="3"/>
  <c r="DA66" i="3"/>
  <c r="A67" i="3"/>
  <c r="CY67" i="3"/>
  <c r="CZ67" i="3"/>
  <c r="DA67" i="3"/>
  <c r="A68" i="3"/>
  <c r="CY68" i="3"/>
  <c r="CZ68" i="3"/>
  <c r="DA68" i="3"/>
  <c r="A69" i="3"/>
  <c r="CY69" i="3"/>
  <c r="CZ69" i="3"/>
  <c r="DA69" i="3"/>
  <c r="A70" i="3"/>
  <c r="CY70" i="3"/>
  <c r="CZ70" i="3"/>
  <c r="DA70" i="3"/>
  <c r="A71" i="3"/>
  <c r="CY71" i="3"/>
  <c r="CZ71" i="3"/>
  <c r="DA71" i="3"/>
  <c r="A72" i="3"/>
  <c r="CY72" i="3"/>
  <c r="CZ72" i="3"/>
  <c r="DA72" i="3"/>
  <c r="A73" i="3"/>
  <c r="CY73" i="3"/>
  <c r="CZ73" i="3"/>
  <c r="DA73" i="3"/>
  <c r="A74" i="3"/>
  <c r="CY74" i="3"/>
  <c r="CZ74" i="3"/>
  <c r="DA74" i="3"/>
  <c r="A75" i="3"/>
  <c r="CY75" i="3"/>
  <c r="CZ75" i="3"/>
  <c r="DA75" i="3"/>
  <c r="A76" i="3"/>
  <c r="CY76" i="3"/>
  <c r="CZ76" i="3"/>
  <c r="DA76" i="3"/>
  <c r="A77" i="3"/>
  <c r="CY77" i="3"/>
  <c r="CZ77" i="3"/>
  <c r="DA77" i="3"/>
  <c r="A78" i="3"/>
  <c r="CY78" i="3"/>
  <c r="CZ78" i="3"/>
  <c r="DA78" i="3"/>
  <c r="A79" i="3"/>
  <c r="CY79" i="3"/>
  <c r="CZ79" i="3"/>
  <c r="DA79" i="3"/>
  <c r="A80" i="3"/>
  <c r="CY80" i="3"/>
  <c r="CZ80" i="3"/>
  <c r="DA80" i="3"/>
  <c r="A81" i="3"/>
  <c r="CY81" i="3"/>
  <c r="CZ81" i="3"/>
  <c r="DA81" i="3"/>
  <c r="A82" i="3"/>
  <c r="CY82" i="3"/>
  <c r="CZ82" i="3"/>
  <c r="DA82" i="3"/>
  <c r="A83" i="3"/>
  <c r="CY83" i="3"/>
  <c r="CZ83" i="3"/>
  <c r="DA83" i="3"/>
  <c r="A84" i="3"/>
  <c r="CY84" i="3"/>
  <c r="CZ84" i="3"/>
  <c r="DA84" i="3"/>
  <c r="A85" i="3"/>
  <c r="CY85" i="3"/>
  <c r="CZ85" i="3"/>
  <c r="DA85" i="3"/>
  <c r="A86" i="3"/>
  <c r="CY86" i="3"/>
  <c r="CZ86" i="3"/>
  <c r="DA86" i="3"/>
  <c r="A87" i="3"/>
  <c r="CY87" i="3"/>
  <c r="CZ87" i="3"/>
  <c r="DA87" i="3"/>
  <c r="A88" i="3"/>
  <c r="CY88" i="3"/>
  <c r="CZ88" i="3"/>
  <c r="DA88" i="3"/>
  <c r="A89" i="3"/>
  <c r="CY89" i="3"/>
  <c r="CZ89" i="3"/>
  <c r="DA89" i="3"/>
  <c r="A90" i="3"/>
  <c r="CY90" i="3"/>
  <c r="CZ90" i="3"/>
  <c r="DA90" i="3"/>
  <c r="A91" i="3"/>
  <c r="CY91" i="3"/>
  <c r="CZ91" i="3"/>
  <c r="DA91" i="3"/>
  <c r="A92" i="3"/>
  <c r="CY92" i="3"/>
  <c r="CZ92" i="3"/>
  <c r="DA92" i="3"/>
  <c r="A93" i="3"/>
  <c r="CY93" i="3"/>
  <c r="CZ93" i="3"/>
  <c r="DA93" i="3"/>
  <c r="A94" i="3"/>
  <c r="CY94" i="3"/>
  <c r="CZ94" i="3"/>
  <c r="DA94" i="3"/>
  <c r="A95" i="3"/>
  <c r="CY95" i="3"/>
  <c r="CZ95" i="3"/>
  <c r="DA95" i="3"/>
  <c r="A96" i="3"/>
  <c r="CY96" i="3"/>
  <c r="CZ96" i="3"/>
  <c r="DA96" i="3"/>
  <c r="A97" i="3"/>
  <c r="CY97" i="3"/>
  <c r="CZ97" i="3"/>
  <c r="DA97" i="3"/>
  <c r="A98" i="3"/>
  <c r="CY98" i="3"/>
  <c r="CZ98" i="3"/>
  <c r="DA98" i="3"/>
  <c r="A99" i="3"/>
  <c r="CY99" i="3"/>
  <c r="CZ99" i="3"/>
  <c r="DA99" i="3"/>
  <c r="A100" i="3"/>
  <c r="CY100" i="3"/>
  <c r="CZ100" i="3"/>
  <c r="DA100" i="3"/>
  <c r="A101" i="3"/>
  <c r="CY101" i="3"/>
  <c r="CZ101" i="3"/>
  <c r="DA101" i="3"/>
  <c r="A102" i="3"/>
  <c r="CY102" i="3"/>
  <c r="CZ102" i="3"/>
  <c r="DA102" i="3"/>
  <c r="A103" i="3"/>
  <c r="CY103" i="3"/>
  <c r="CZ103" i="3"/>
  <c r="DA103" i="3"/>
  <c r="A104" i="3"/>
  <c r="CY104" i="3"/>
  <c r="CZ104" i="3"/>
  <c r="DA104" i="3"/>
  <c r="A105" i="3"/>
  <c r="CY105" i="3"/>
  <c r="CZ105" i="3"/>
  <c r="DA105" i="3"/>
  <c r="A106" i="3"/>
  <c r="CY106" i="3"/>
  <c r="CZ106" i="3"/>
  <c r="DA106" i="3"/>
  <c r="A107" i="3"/>
  <c r="CY107" i="3"/>
  <c r="CZ107" i="3"/>
  <c r="DA107" i="3"/>
  <c r="A108" i="3"/>
  <c r="CY108" i="3"/>
  <c r="CZ108" i="3"/>
  <c r="DA108" i="3"/>
  <c r="A109" i="3"/>
  <c r="CY109" i="3"/>
  <c r="CZ109" i="3"/>
  <c r="DA109" i="3"/>
  <c r="A110" i="3"/>
  <c r="CY110" i="3"/>
  <c r="CZ110" i="3"/>
  <c r="DA110" i="3"/>
  <c r="A111" i="3"/>
  <c r="CY111" i="3"/>
  <c r="CZ111" i="3"/>
  <c r="DA111" i="3"/>
  <c r="A112" i="3"/>
  <c r="CY112" i="3"/>
  <c r="CZ112" i="3"/>
  <c r="DA112" i="3"/>
  <c r="A113" i="3"/>
  <c r="CY113" i="3"/>
  <c r="CZ113" i="3"/>
  <c r="DA113" i="3"/>
  <c r="A114" i="3"/>
  <c r="CY114" i="3"/>
  <c r="CZ114" i="3"/>
  <c r="DA114" i="3"/>
  <c r="A115" i="3"/>
  <c r="CY115" i="3"/>
  <c r="CZ115" i="3"/>
  <c r="DA115" i="3"/>
  <c r="A116" i="3"/>
  <c r="CY116" i="3"/>
  <c r="CZ116" i="3"/>
  <c r="DA116" i="3"/>
  <c r="A117" i="3"/>
  <c r="CY117" i="3"/>
  <c r="CZ117" i="3"/>
  <c r="DA117" i="3"/>
  <c r="A118" i="3"/>
  <c r="CY118" i="3"/>
  <c r="CZ118" i="3"/>
  <c r="DA11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CX4" i="3"/>
  <c r="AC24" i="1"/>
  <c r="CR24" i="1"/>
  <c r="Q24" i="1" s="1"/>
  <c r="L47" i="6" s="1"/>
  <c r="AG24" i="1"/>
  <c r="CU24" i="1" s="1"/>
  <c r="T24" i="1" s="1"/>
  <c r="AH24" i="1"/>
  <c r="AI24" i="1"/>
  <c r="AJ24" i="1"/>
  <c r="CS24" i="1"/>
  <c r="R24" i="1" s="1"/>
  <c r="CT24" i="1"/>
  <c r="S24" i="1" s="1"/>
  <c r="K47" i="6" s="1"/>
  <c r="CV24" i="1"/>
  <c r="U24" i="1" s="1"/>
  <c r="CW24" i="1"/>
  <c r="V24" i="1" s="1"/>
  <c r="CX24" i="1"/>
  <c r="W24" i="1" s="1"/>
  <c r="FR24" i="1"/>
  <c r="GL24" i="1"/>
  <c r="GO24" i="1"/>
  <c r="GP24" i="1"/>
  <c r="GV24" i="1"/>
  <c r="GX24" i="1"/>
  <c r="C25" i="1"/>
  <c r="D25" i="1"/>
  <c r="CX8" i="3"/>
  <c r="P34" i="8" s="1"/>
  <c r="O34" i="8" s="1"/>
  <c r="E34" i="8" s="1"/>
  <c r="G34" i="8" s="1"/>
  <c r="R25" i="1"/>
  <c r="V25" i="1"/>
  <c r="AC25" i="1"/>
  <c r="AB25" i="1" s="1"/>
  <c r="AD25" i="1"/>
  <c r="CR25" i="1" s="1"/>
  <c r="Q25" i="1" s="1"/>
  <c r="AE25" i="1"/>
  <c r="AF25" i="1"/>
  <c r="AG25" i="1"/>
  <c r="AH25" i="1"/>
  <c r="CV25" i="1" s="1"/>
  <c r="U25" i="1" s="1"/>
  <c r="AI25" i="1"/>
  <c r="AJ25" i="1"/>
  <c r="CX25" i="1" s="1"/>
  <c r="W25" i="1" s="1"/>
  <c r="CS25" i="1"/>
  <c r="CT25" i="1"/>
  <c r="S25" i="1" s="1"/>
  <c r="CU25" i="1"/>
  <c r="T25" i="1" s="1"/>
  <c r="CW25" i="1"/>
  <c r="FR25" i="1"/>
  <c r="GK25" i="1"/>
  <c r="GL25" i="1"/>
  <c r="GO25" i="1"/>
  <c r="GP25" i="1"/>
  <c r="GV25" i="1"/>
  <c r="GX25" i="1"/>
  <c r="C26" i="1"/>
  <c r="D26" i="1"/>
  <c r="CX12" i="3"/>
  <c r="AC26" i="1"/>
  <c r="CR26" i="1"/>
  <c r="Q26" i="1" s="1"/>
  <c r="L52" i="6" s="1"/>
  <c r="AG26" i="1"/>
  <c r="CU26" i="1" s="1"/>
  <c r="T26" i="1" s="1"/>
  <c r="AH26" i="1"/>
  <c r="CV26" i="1" s="1"/>
  <c r="U26" i="1" s="1"/>
  <c r="AI26" i="1"/>
  <c r="AJ26" i="1"/>
  <c r="CS26" i="1"/>
  <c r="R26" i="1" s="1"/>
  <c r="CT26" i="1"/>
  <c r="S26" i="1" s="1"/>
  <c r="K52" i="6" s="1"/>
  <c r="CW26" i="1"/>
  <c r="V26" i="1" s="1"/>
  <c r="CX26" i="1"/>
  <c r="W26" i="1" s="1"/>
  <c r="FR26" i="1"/>
  <c r="GL26" i="1"/>
  <c r="GO26" i="1"/>
  <c r="GP26" i="1"/>
  <c r="GV26" i="1"/>
  <c r="GX26" i="1"/>
  <c r="C27" i="1"/>
  <c r="D27" i="1"/>
  <c r="AC27" i="1"/>
  <c r="AB27" i="1" s="1"/>
  <c r="AD27" i="1"/>
  <c r="CR27" i="1" s="1"/>
  <c r="Q27" i="1" s="1"/>
  <c r="AE27" i="1"/>
  <c r="CS27" i="1" s="1"/>
  <c r="R27" i="1" s="1"/>
  <c r="GK27" i="1" s="1"/>
  <c r="AF27" i="1"/>
  <c r="AG27" i="1"/>
  <c r="AH27" i="1"/>
  <c r="CV27" i="1" s="1"/>
  <c r="U27" i="1" s="1"/>
  <c r="AI27" i="1"/>
  <c r="CW27" i="1" s="1"/>
  <c r="V27" i="1" s="1"/>
  <c r="AJ27" i="1"/>
  <c r="CQ27" i="1"/>
  <c r="P27" i="1" s="1"/>
  <c r="CT27" i="1"/>
  <c r="S27" i="1" s="1"/>
  <c r="CU27" i="1"/>
  <c r="T27" i="1" s="1"/>
  <c r="CX27" i="1"/>
  <c r="W27" i="1" s="1"/>
  <c r="FR27" i="1"/>
  <c r="GL27" i="1"/>
  <c r="GO27" i="1"/>
  <c r="GP27" i="1"/>
  <c r="GV27" i="1"/>
  <c r="GX27" i="1" s="1"/>
  <c r="C28" i="1"/>
  <c r="D28" i="1"/>
  <c r="U28" i="1"/>
  <c r="AC28" i="1"/>
  <c r="CR28" i="1"/>
  <c r="Q28" i="1" s="1"/>
  <c r="L57" i="6" s="1"/>
  <c r="CT28" i="1"/>
  <c r="S28" i="1" s="1"/>
  <c r="K57" i="6" s="1"/>
  <c r="AG28" i="1"/>
  <c r="AH28" i="1"/>
  <c r="AI28" i="1"/>
  <c r="CW28" i="1" s="1"/>
  <c r="V28" i="1" s="1"/>
  <c r="AJ28" i="1"/>
  <c r="CX28" i="1" s="1"/>
  <c r="W28" i="1" s="1"/>
  <c r="CQ28" i="1"/>
  <c r="P28" i="1" s="1"/>
  <c r="CP28" i="1" s="1"/>
  <c r="CS28" i="1"/>
  <c r="R28" i="1" s="1"/>
  <c r="CU28" i="1"/>
  <c r="T28" i="1" s="1"/>
  <c r="CV28" i="1"/>
  <c r="FR28" i="1"/>
  <c r="GL28" i="1"/>
  <c r="GO28" i="1"/>
  <c r="GP28" i="1"/>
  <c r="GV28" i="1"/>
  <c r="GX28" i="1"/>
  <c r="C29" i="1"/>
  <c r="D29" i="1"/>
  <c r="GX29" i="1"/>
  <c r="R29" i="1"/>
  <c r="GK29" i="1" s="1"/>
  <c r="AB29" i="1"/>
  <c r="AC29" i="1"/>
  <c r="CQ29" i="1" s="1"/>
  <c r="AE29" i="1"/>
  <c r="AD29" i="1" s="1"/>
  <c r="CR29" i="1" s="1"/>
  <c r="Q29" i="1" s="1"/>
  <c r="AF29" i="1"/>
  <c r="CT29" i="1" s="1"/>
  <c r="S29" i="1" s="1"/>
  <c r="AG29" i="1"/>
  <c r="CU29" i="1" s="1"/>
  <c r="T29" i="1" s="1"/>
  <c r="AH29" i="1"/>
  <c r="AI29" i="1"/>
  <c r="AJ29" i="1"/>
  <c r="CX29" i="1" s="1"/>
  <c r="W29" i="1" s="1"/>
  <c r="CS29" i="1"/>
  <c r="CV29" i="1"/>
  <c r="U29" i="1" s="1"/>
  <c r="CW29" i="1"/>
  <c r="V29" i="1" s="1"/>
  <c r="FR29" i="1"/>
  <c r="GL29" i="1"/>
  <c r="GO29" i="1"/>
  <c r="GP29" i="1"/>
  <c r="GV29" i="1"/>
  <c r="C30" i="1"/>
  <c r="D30" i="1"/>
  <c r="T30" i="1"/>
  <c r="AC30" i="1"/>
  <c r="CR30" i="1"/>
  <c r="Q30" i="1" s="1"/>
  <c r="L62" i="6" s="1"/>
  <c r="AG30" i="1"/>
  <c r="AH30" i="1"/>
  <c r="CV30" i="1" s="1"/>
  <c r="U30" i="1" s="1"/>
  <c r="AI30" i="1"/>
  <c r="AJ30" i="1"/>
  <c r="CQ30" i="1"/>
  <c r="P30" i="1" s="1"/>
  <c r="CP30" i="1" s="1"/>
  <c r="CS30" i="1"/>
  <c r="R30" i="1" s="1"/>
  <c r="M62" i="6" s="1"/>
  <c r="CT30" i="1"/>
  <c r="S30" i="1" s="1"/>
  <c r="CU30" i="1"/>
  <c r="CW30" i="1"/>
  <c r="V30" i="1" s="1"/>
  <c r="CX30" i="1"/>
  <c r="W30" i="1" s="1"/>
  <c r="FR30" i="1"/>
  <c r="GK30" i="1"/>
  <c r="GL30" i="1"/>
  <c r="GO30" i="1"/>
  <c r="GP30" i="1"/>
  <c r="GV30" i="1"/>
  <c r="GX30" i="1"/>
  <c r="C31" i="1"/>
  <c r="D31" i="1"/>
  <c r="W31" i="1"/>
  <c r="AC31" i="1"/>
  <c r="AD31" i="1"/>
  <c r="CR31" i="1" s="1"/>
  <c r="Q31" i="1" s="1"/>
  <c r="AE31" i="1"/>
  <c r="CS31" i="1" s="1"/>
  <c r="R31" i="1" s="1"/>
  <c r="AF31" i="1"/>
  <c r="AG31" i="1"/>
  <c r="AH31" i="1"/>
  <c r="AI31" i="1"/>
  <c r="CW31" i="1" s="1"/>
  <c r="V31" i="1" s="1"/>
  <c r="AJ31" i="1"/>
  <c r="CQ31" i="1"/>
  <c r="P31" i="1" s="1"/>
  <c r="CT31" i="1"/>
  <c r="S31" i="1" s="1"/>
  <c r="CU31" i="1"/>
  <c r="T31" i="1" s="1"/>
  <c r="CV31" i="1"/>
  <c r="U31" i="1" s="1"/>
  <c r="CX31" i="1"/>
  <c r="FR31" i="1"/>
  <c r="GK31" i="1"/>
  <c r="GL31" i="1"/>
  <c r="GO31" i="1"/>
  <c r="GP31" i="1"/>
  <c r="GV31" i="1"/>
  <c r="GX31" i="1" s="1"/>
  <c r="C32" i="1"/>
  <c r="D32" i="1"/>
  <c r="AC32" i="1"/>
  <c r="CT32" i="1"/>
  <c r="S32" i="1" s="1"/>
  <c r="K67" i="6" s="1"/>
  <c r="AG32" i="1"/>
  <c r="AH32" i="1"/>
  <c r="CV32" i="1" s="1"/>
  <c r="U32" i="1" s="1"/>
  <c r="AI32" i="1"/>
  <c r="AJ32" i="1"/>
  <c r="CX32" i="1" s="1"/>
  <c r="W32" i="1" s="1"/>
  <c r="CQ32" i="1"/>
  <c r="P32" i="1" s="1"/>
  <c r="CP32" i="1" s="1"/>
  <c r="CR32" i="1"/>
  <c r="Q32" i="1" s="1"/>
  <c r="L67" i="6" s="1"/>
  <c r="CS32" i="1"/>
  <c r="R32" i="1" s="1"/>
  <c r="CU32" i="1"/>
  <c r="T32" i="1" s="1"/>
  <c r="CW32" i="1"/>
  <c r="V32" i="1" s="1"/>
  <c r="FR32" i="1"/>
  <c r="GL32" i="1"/>
  <c r="GO32" i="1"/>
  <c r="GP32" i="1"/>
  <c r="GV32" i="1"/>
  <c r="GX32" i="1"/>
  <c r="C33" i="1"/>
  <c r="D33" i="1"/>
  <c r="AC33" i="1"/>
  <c r="CQ33" i="1" s="1"/>
  <c r="P33" i="1" s="1"/>
  <c r="AE33" i="1"/>
  <c r="AD33" i="1" s="1"/>
  <c r="CR33" i="1" s="1"/>
  <c r="Q33" i="1" s="1"/>
  <c r="AF33" i="1"/>
  <c r="AG33" i="1"/>
  <c r="CU33" i="1" s="1"/>
  <c r="T33" i="1" s="1"/>
  <c r="AH33" i="1"/>
  <c r="AI33" i="1"/>
  <c r="CW33" i="1" s="1"/>
  <c r="V33" i="1" s="1"/>
  <c r="AJ33" i="1"/>
  <c r="CS33" i="1"/>
  <c r="R33" i="1" s="1"/>
  <c r="GK33" i="1" s="1"/>
  <c r="CT33" i="1"/>
  <c r="S33" i="1" s="1"/>
  <c r="CV33" i="1"/>
  <c r="U33" i="1" s="1"/>
  <c r="CX33" i="1"/>
  <c r="W33" i="1" s="1"/>
  <c r="FR33" i="1"/>
  <c r="GL33" i="1"/>
  <c r="GO33" i="1"/>
  <c r="GP33" i="1"/>
  <c r="GV33" i="1"/>
  <c r="GX33" i="1"/>
  <c r="I34" i="1"/>
  <c r="E72" i="6" s="1"/>
  <c r="AE34" i="1"/>
  <c r="AD34" i="1" s="1"/>
  <c r="AF34" i="1"/>
  <c r="CT34" i="1" s="1"/>
  <c r="S34" i="1" s="1"/>
  <c r="AG34" i="1"/>
  <c r="AH34" i="1"/>
  <c r="CV34" i="1" s="1"/>
  <c r="U34" i="1" s="1"/>
  <c r="AI34" i="1"/>
  <c r="CW34" i="1" s="1"/>
  <c r="AJ34" i="1"/>
  <c r="CX34" i="1" s="1"/>
  <c r="W34" i="1" s="1"/>
  <c r="CQ34" i="1"/>
  <c r="CS34" i="1"/>
  <c r="R34" i="1" s="1"/>
  <c r="CU34" i="1"/>
  <c r="FR34" i="1"/>
  <c r="GL34" i="1"/>
  <c r="GO34" i="1"/>
  <c r="GP34" i="1"/>
  <c r="GV34" i="1"/>
  <c r="AC35" i="1"/>
  <c r="AE35" i="1"/>
  <c r="CS35" i="1" s="1"/>
  <c r="AF35" i="1"/>
  <c r="AG35" i="1"/>
  <c r="AH35" i="1"/>
  <c r="AI35" i="1"/>
  <c r="CW35" i="1" s="1"/>
  <c r="AJ35" i="1"/>
  <c r="CQ35" i="1"/>
  <c r="CT35" i="1"/>
  <c r="CU35" i="1"/>
  <c r="CV35" i="1"/>
  <c r="CX35" i="1"/>
  <c r="FR35" i="1"/>
  <c r="GL35" i="1"/>
  <c r="GO35" i="1"/>
  <c r="GP35" i="1"/>
  <c r="GV35" i="1"/>
  <c r="C36" i="1"/>
  <c r="D36" i="1"/>
  <c r="T36" i="1"/>
  <c r="AC36" i="1"/>
  <c r="CT36" i="1"/>
  <c r="AG36" i="1"/>
  <c r="AH36" i="1"/>
  <c r="CV36" i="1" s="1"/>
  <c r="U36" i="1" s="1"/>
  <c r="AI36" i="1"/>
  <c r="CW36" i="1" s="1"/>
  <c r="V36" i="1" s="1"/>
  <c r="AJ36" i="1"/>
  <c r="CX36" i="1" s="1"/>
  <c r="CQ36" i="1"/>
  <c r="P36" i="1" s="1"/>
  <c r="CS36" i="1"/>
  <c r="R36" i="1" s="1"/>
  <c r="CU36" i="1"/>
  <c r="FR36" i="1"/>
  <c r="GL36" i="1"/>
  <c r="GO36" i="1"/>
  <c r="GP36" i="1"/>
  <c r="GV36" i="1"/>
  <c r="GX36" i="1" s="1"/>
  <c r="C37" i="1"/>
  <c r="D37" i="1"/>
  <c r="S37" i="1"/>
  <c r="AC37" i="1"/>
  <c r="AB37" i="1" s="1"/>
  <c r="AD37" i="1"/>
  <c r="CR37" i="1" s="1"/>
  <c r="Q37" i="1" s="1"/>
  <c r="AE37" i="1"/>
  <c r="AF37" i="1"/>
  <c r="AG37" i="1"/>
  <c r="AH37" i="1"/>
  <c r="CV37" i="1" s="1"/>
  <c r="U37" i="1" s="1"/>
  <c r="AI37" i="1"/>
  <c r="AJ37" i="1"/>
  <c r="CQ37" i="1"/>
  <c r="P37" i="1" s="1"/>
  <c r="CS37" i="1"/>
  <c r="CT37" i="1"/>
  <c r="CU37" i="1"/>
  <c r="T37" i="1" s="1"/>
  <c r="CW37" i="1"/>
  <c r="V37" i="1" s="1"/>
  <c r="CX37" i="1"/>
  <c r="W37" i="1" s="1"/>
  <c r="FR37" i="1"/>
  <c r="GL37" i="1"/>
  <c r="GO37" i="1"/>
  <c r="GP37" i="1"/>
  <c r="GV37" i="1"/>
  <c r="C38" i="1"/>
  <c r="D38" i="1"/>
  <c r="AC38" i="1"/>
  <c r="CR38" i="1"/>
  <c r="Q38" i="1" s="1"/>
  <c r="L79" i="6" s="1"/>
  <c r="AG38" i="1"/>
  <c r="AH38" i="1"/>
  <c r="AI38" i="1"/>
  <c r="CW38" i="1" s="1"/>
  <c r="V38" i="1" s="1"/>
  <c r="AJ38" i="1"/>
  <c r="CQ38" i="1"/>
  <c r="P38" i="1" s="1"/>
  <c r="CP38" i="1" s="1"/>
  <c r="CT38" i="1"/>
  <c r="S38" i="1" s="1"/>
  <c r="K79" i="6" s="1"/>
  <c r="CU38" i="1"/>
  <c r="T38" i="1" s="1"/>
  <c r="CV38" i="1"/>
  <c r="U38" i="1" s="1"/>
  <c r="CX38" i="1"/>
  <c r="W38" i="1" s="1"/>
  <c r="FR38" i="1"/>
  <c r="GL38" i="1"/>
  <c r="GO38" i="1"/>
  <c r="GP38" i="1"/>
  <c r="GV38" i="1"/>
  <c r="GX38" i="1" s="1"/>
  <c r="C39" i="1"/>
  <c r="D39" i="1"/>
  <c r="AC39" i="1"/>
  <c r="AE39" i="1"/>
  <c r="AD39" i="1" s="1"/>
  <c r="AF39" i="1"/>
  <c r="CT39" i="1" s="1"/>
  <c r="S39" i="1" s="1"/>
  <c r="AG39" i="1"/>
  <c r="AH39" i="1"/>
  <c r="AI39" i="1"/>
  <c r="AJ39" i="1"/>
  <c r="CX39" i="1" s="1"/>
  <c r="W39" i="1" s="1"/>
  <c r="CQ39" i="1"/>
  <c r="P39" i="1" s="1"/>
  <c r="CS39" i="1"/>
  <c r="R39" i="1" s="1"/>
  <c r="GK39" i="1" s="1"/>
  <c r="CU39" i="1"/>
  <c r="T39" i="1" s="1"/>
  <c r="CV39" i="1"/>
  <c r="U39" i="1" s="1"/>
  <c r="CW39" i="1"/>
  <c r="V39" i="1" s="1"/>
  <c r="FR39" i="1"/>
  <c r="GL39" i="1"/>
  <c r="GO39" i="1"/>
  <c r="GP39" i="1"/>
  <c r="GV39" i="1"/>
  <c r="GX39" i="1"/>
  <c r="C40" i="1"/>
  <c r="D40" i="1"/>
  <c r="S40" i="1"/>
  <c r="K84" i="6" s="1"/>
  <c r="W40" i="1"/>
  <c r="AC40" i="1"/>
  <c r="CR40" i="1"/>
  <c r="Q40" i="1" s="1"/>
  <c r="L84" i="6" s="1"/>
  <c r="AG40" i="1"/>
  <c r="CU40" i="1" s="1"/>
  <c r="T40" i="1" s="1"/>
  <c r="AH40" i="1"/>
  <c r="AI40" i="1"/>
  <c r="AJ40" i="1"/>
  <c r="CS40" i="1"/>
  <c r="R40" i="1" s="1"/>
  <c r="CT40" i="1"/>
  <c r="CV40" i="1"/>
  <c r="U40" i="1" s="1"/>
  <c r="CW40" i="1"/>
  <c r="V40" i="1" s="1"/>
  <c r="CX40" i="1"/>
  <c r="FR40" i="1"/>
  <c r="GL40" i="1"/>
  <c r="GO40" i="1"/>
  <c r="GP40" i="1"/>
  <c r="GV40" i="1"/>
  <c r="GX40" i="1"/>
  <c r="C41" i="1"/>
  <c r="D41" i="1"/>
  <c r="P41" i="1"/>
  <c r="T41" i="1"/>
  <c r="AC41" i="1"/>
  <c r="AD41" i="1"/>
  <c r="CR41" i="1" s="1"/>
  <c r="Q41" i="1" s="1"/>
  <c r="AE41" i="1"/>
  <c r="AF41" i="1"/>
  <c r="AG41" i="1"/>
  <c r="AH41" i="1"/>
  <c r="CV41" i="1" s="1"/>
  <c r="U41" i="1" s="1"/>
  <c r="AI41" i="1"/>
  <c r="AJ41" i="1"/>
  <c r="CQ41" i="1"/>
  <c r="CS41" i="1"/>
  <c r="R41" i="1" s="1"/>
  <c r="GK41" i="1" s="1"/>
  <c r="CT41" i="1"/>
  <c r="S41" i="1" s="1"/>
  <c r="CU41" i="1"/>
  <c r="CW41" i="1"/>
  <c r="V41" i="1" s="1"/>
  <c r="CX41" i="1"/>
  <c r="W41" i="1" s="1"/>
  <c r="FR41" i="1"/>
  <c r="GL41" i="1"/>
  <c r="GO41" i="1"/>
  <c r="GP41" i="1"/>
  <c r="GV41" i="1"/>
  <c r="GX41" i="1"/>
  <c r="C42" i="1"/>
  <c r="D42" i="1"/>
  <c r="U42" i="1"/>
  <c r="AC42" i="1"/>
  <c r="AG42" i="1"/>
  <c r="AH42" i="1"/>
  <c r="AI42" i="1"/>
  <c r="CW42" i="1" s="1"/>
  <c r="V42" i="1" s="1"/>
  <c r="AJ42" i="1"/>
  <c r="CQ42" i="1"/>
  <c r="P42" i="1" s="1"/>
  <c r="CT42" i="1"/>
  <c r="S42" i="1" s="1"/>
  <c r="K89" i="6" s="1"/>
  <c r="CU42" i="1"/>
  <c r="T42" i="1" s="1"/>
  <c r="CV42" i="1"/>
  <c r="CX42" i="1"/>
  <c r="W42" i="1" s="1"/>
  <c r="FR42" i="1"/>
  <c r="GL42" i="1"/>
  <c r="GO42" i="1"/>
  <c r="GP42" i="1"/>
  <c r="GV42" i="1"/>
  <c r="GX42" i="1" s="1"/>
  <c r="C43" i="1"/>
  <c r="D43" i="1"/>
  <c r="GX43" i="1"/>
  <c r="AC43" i="1"/>
  <c r="AE43" i="1"/>
  <c r="AD43" i="1" s="1"/>
  <c r="CR43" i="1" s="1"/>
  <c r="AF43" i="1"/>
  <c r="CT43" i="1" s="1"/>
  <c r="AG43" i="1"/>
  <c r="AH43" i="1"/>
  <c r="AI43" i="1"/>
  <c r="AJ43" i="1"/>
  <c r="CX43" i="1" s="1"/>
  <c r="CQ43" i="1"/>
  <c r="CS43" i="1"/>
  <c r="R43" i="1" s="1"/>
  <c r="GK43" i="1" s="1"/>
  <c r="CU43" i="1"/>
  <c r="CV43" i="1"/>
  <c r="CW43" i="1"/>
  <c r="V43" i="1" s="1"/>
  <c r="FR43" i="1"/>
  <c r="GL43" i="1"/>
  <c r="GO43" i="1"/>
  <c r="GP43" i="1"/>
  <c r="GV43" i="1"/>
  <c r="C44" i="1"/>
  <c r="D44" i="1"/>
  <c r="W44" i="1"/>
  <c r="AC44" i="1"/>
  <c r="CR44" i="1"/>
  <c r="Q44" i="1" s="1"/>
  <c r="L94" i="6" s="1"/>
  <c r="AG44" i="1"/>
  <c r="CU44" i="1" s="1"/>
  <c r="T44" i="1" s="1"/>
  <c r="AH44" i="1"/>
  <c r="AI44" i="1"/>
  <c r="AJ44" i="1"/>
  <c r="CS44" i="1"/>
  <c r="R44" i="1" s="1"/>
  <c r="CT44" i="1"/>
  <c r="S44" i="1" s="1"/>
  <c r="K94" i="6" s="1"/>
  <c r="CV44" i="1"/>
  <c r="U44" i="1" s="1"/>
  <c r="CW44" i="1"/>
  <c r="V44" i="1" s="1"/>
  <c r="CX44" i="1"/>
  <c r="FR44" i="1"/>
  <c r="GL44" i="1"/>
  <c r="GO44" i="1"/>
  <c r="GP44" i="1"/>
  <c r="GV44" i="1"/>
  <c r="GX44" i="1"/>
  <c r="C45" i="1"/>
  <c r="D45" i="1"/>
  <c r="P45" i="1"/>
  <c r="T45" i="1"/>
  <c r="AC45" i="1"/>
  <c r="AD45" i="1"/>
  <c r="CR45" i="1" s="1"/>
  <c r="Q45" i="1" s="1"/>
  <c r="AE45" i="1"/>
  <c r="AF45" i="1"/>
  <c r="AG45" i="1"/>
  <c r="AH45" i="1"/>
  <c r="CV45" i="1" s="1"/>
  <c r="U45" i="1" s="1"/>
  <c r="AI45" i="1"/>
  <c r="AJ45" i="1"/>
  <c r="CQ45" i="1"/>
  <c r="CS45" i="1"/>
  <c r="R45" i="1" s="1"/>
  <c r="GK45" i="1" s="1"/>
  <c r="CT45" i="1"/>
  <c r="S45" i="1" s="1"/>
  <c r="CU45" i="1"/>
  <c r="CW45" i="1"/>
  <c r="V45" i="1" s="1"/>
  <c r="CX45" i="1"/>
  <c r="W45" i="1" s="1"/>
  <c r="FR45" i="1"/>
  <c r="GL45" i="1"/>
  <c r="GO45" i="1"/>
  <c r="GP45" i="1"/>
  <c r="GV45" i="1"/>
  <c r="GX45" i="1"/>
  <c r="C46" i="1"/>
  <c r="D46" i="1"/>
  <c r="P46" i="1"/>
  <c r="AC46" i="1"/>
  <c r="CS46" i="1"/>
  <c r="R46" i="1" s="1"/>
  <c r="AG46" i="1"/>
  <c r="AH46" i="1"/>
  <c r="CV46" i="1" s="1"/>
  <c r="U46" i="1" s="1"/>
  <c r="AI46" i="1"/>
  <c r="CW46" i="1" s="1"/>
  <c r="V46" i="1" s="1"/>
  <c r="AJ46" i="1"/>
  <c r="CQ46" i="1"/>
  <c r="CT46" i="1"/>
  <c r="S46" i="1" s="1"/>
  <c r="K99" i="6" s="1"/>
  <c r="CU46" i="1"/>
  <c r="T46" i="1" s="1"/>
  <c r="CX46" i="1"/>
  <c r="W46" i="1" s="1"/>
  <c r="FR46" i="1"/>
  <c r="GL46" i="1"/>
  <c r="GO46" i="1"/>
  <c r="GP46" i="1"/>
  <c r="GV46" i="1"/>
  <c r="GX46" i="1" s="1"/>
  <c r="C47" i="1"/>
  <c r="D47" i="1"/>
  <c r="R47" i="1"/>
  <c r="GK47" i="1" s="1"/>
  <c r="AB47" i="1"/>
  <c r="AC47" i="1"/>
  <c r="AE47" i="1"/>
  <c r="AD47" i="1" s="1"/>
  <c r="AF47" i="1"/>
  <c r="CT47" i="1" s="1"/>
  <c r="S47" i="1" s="1"/>
  <c r="CZ47" i="1" s="1"/>
  <c r="Y47" i="1" s="1"/>
  <c r="AG47" i="1"/>
  <c r="AH47" i="1"/>
  <c r="AI47" i="1"/>
  <c r="AJ47" i="1"/>
  <c r="CX47" i="1" s="1"/>
  <c r="W47" i="1" s="1"/>
  <c r="CQ47" i="1"/>
  <c r="P47" i="1" s="1"/>
  <c r="CR47" i="1"/>
  <c r="Q47" i="1" s="1"/>
  <c r="CS47" i="1"/>
  <c r="CU47" i="1"/>
  <c r="T47" i="1" s="1"/>
  <c r="CV47" i="1"/>
  <c r="U47" i="1" s="1"/>
  <c r="CW47" i="1"/>
  <c r="V47" i="1" s="1"/>
  <c r="FR47" i="1"/>
  <c r="GL47" i="1"/>
  <c r="GO47" i="1"/>
  <c r="GP47" i="1"/>
  <c r="GV47" i="1"/>
  <c r="GX47" i="1" s="1"/>
  <c r="I48" i="1"/>
  <c r="E104" i="6" s="1"/>
  <c r="AE48" i="1"/>
  <c r="CS48" i="1" s="1"/>
  <c r="AF48" i="1"/>
  <c r="AG48" i="1"/>
  <c r="AH48" i="1"/>
  <c r="CV48" i="1" s="1"/>
  <c r="AI48" i="1"/>
  <c r="CW48" i="1" s="1"/>
  <c r="AJ48" i="1"/>
  <c r="CQ48" i="1"/>
  <c r="CT48" i="1"/>
  <c r="CU48" i="1"/>
  <c r="CX48" i="1"/>
  <c r="FR48" i="1"/>
  <c r="GL48" i="1"/>
  <c r="GO48" i="1"/>
  <c r="GP48" i="1"/>
  <c r="GV48" i="1"/>
  <c r="AC49" i="1"/>
  <c r="AD49" i="1"/>
  <c r="CR49" i="1" s="1"/>
  <c r="AE49" i="1"/>
  <c r="AF49" i="1"/>
  <c r="AG49" i="1"/>
  <c r="AH49" i="1"/>
  <c r="CV49" i="1" s="1"/>
  <c r="AI49" i="1"/>
  <c r="AJ49" i="1"/>
  <c r="CQ49" i="1"/>
  <c r="CS49" i="1"/>
  <c r="CT49" i="1"/>
  <c r="CU49" i="1"/>
  <c r="CW49" i="1"/>
  <c r="CX49" i="1"/>
  <c r="FR49" i="1"/>
  <c r="GL49" i="1"/>
  <c r="GO49" i="1"/>
  <c r="GP49" i="1"/>
  <c r="GV49" i="1"/>
  <c r="I50" i="1"/>
  <c r="E106" i="6" s="1"/>
  <c r="CQ50" i="1"/>
  <c r="AE50" i="1"/>
  <c r="AD50" i="1" s="1"/>
  <c r="CR50" i="1" s="1"/>
  <c r="AF50" i="1"/>
  <c r="AG50" i="1"/>
  <c r="CU50" i="1" s="1"/>
  <c r="AH50" i="1"/>
  <c r="AI50" i="1"/>
  <c r="CW50" i="1" s="1"/>
  <c r="AJ50" i="1"/>
  <c r="CS50" i="1"/>
  <c r="R50" i="1" s="1"/>
  <c r="GK50" i="1" s="1"/>
  <c r="CT50" i="1"/>
  <c r="CV50" i="1"/>
  <c r="CX50" i="1"/>
  <c r="FR50" i="1"/>
  <c r="GL50" i="1"/>
  <c r="GO50" i="1"/>
  <c r="GP50" i="1"/>
  <c r="GV50" i="1"/>
  <c r="GX50" i="1" s="1"/>
  <c r="I51" i="1"/>
  <c r="P51" i="1" s="1"/>
  <c r="AC51" i="1"/>
  <c r="AE51" i="1"/>
  <c r="AD51" i="1" s="1"/>
  <c r="AF51" i="1"/>
  <c r="CT51" i="1" s="1"/>
  <c r="S51" i="1" s="1"/>
  <c r="AG51" i="1"/>
  <c r="AH51" i="1"/>
  <c r="AI51" i="1"/>
  <c r="CW51" i="1" s="1"/>
  <c r="V51" i="1" s="1"/>
  <c r="AJ51" i="1"/>
  <c r="CX51" i="1" s="1"/>
  <c r="W51" i="1" s="1"/>
  <c r="CQ51" i="1"/>
  <c r="CS51" i="1"/>
  <c r="CU51" i="1"/>
  <c r="T51" i="1" s="1"/>
  <c r="CV51" i="1"/>
  <c r="FR51" i="1"/>
  <c r="GL51" i="1"/>
  <c r="GO51" i="1"/>
  <c r="GP51" i="1"/>
  <c r="GV51" i="1"/>
  <c r="GX51" i="1"/>
  <c r="I52" i="1"/>
  <c r="S52" i="1"/>
  <c r="AD52" i="1"/>
  <c r="CR52" i="1" s="1"/>
  <c r="AE52" i="1"/>
  <c r="CS52" i="1" s="1"/>
  <c r="AF52" i="1"/>
  <c r="AG52" i="1"/>
  <c r="AH52" i="1"/>
  <c r="AI52" i="1"/>
  <c r="CW52" i="1" s="1"/>
  <c r="AJ52" i="1"/>
  <c r="CQ52" i="1"/>
  <c r="P52" i="1" s="1"/>
  <c r="CT52" i="1"/>
  <c r="CU52" i="1"/>
  <c r="T52" i="1" s="1"/>
  <c r="CV52" i="1"/>
  <c r="CX52" i="1"/>
  <c r="FR52" i="1"/>
  <c r="GL52" i="1"/>
  <c r="GO52" i="1"/>
  <c r="GP52" i="1"/>
  <c r="GV52" i="1"/>
  <c r="I53" i="1"/>
  <c r="AC53" i="1"/>
  <c r="CQ53" i="1" s="1"/>
  <c r="AD53" i="1"/>
  <c r="CR53" i="1" s="1"/>
  <c r="AE53" i="1"/>
  <c r="AF53" i="1"/>
  <c r="AB53" i="1" s="1"/>
  <c r="AG53" i="1"/>
  <c r="AH53" i="1"/>
  <c r="CV53" i="1" s="1"/>
  <c r="AI53" i="1"/>
  <c r="AJ53" i="1"/>
  <c r="CX53" i="1" s="1"/>
  <c r="CS53" i="1"/>
  <c r="CT53" i="1"/>
  <c r="CU53" i="1"/>
  <c r="CW53" i="1"/>
  <c r="FR53" i="1"/>
  <c r="GL53" i="1"/>
  <c r="GO53" i="1"/>
  <c r="GP53" i="1"/>
  <c r="GV53" i="1"/>
  <c r="C54" i="1"/>
  <c r="D54" i="1"/>
  <c r="T54" i="1"/>
  <c r="U54" i="1"/>
  <c r="AC54" i="1"/>
  <c r="CQ54" i="1" s="1"/>
  <c r="P54" i="1" s="1"/>
  <c r="CS54" i="1"/>
  <c r="R54" i="1" s="1"/>
  <c r="M110" i="6" s="1"/>
  <c r="AG54" i="1"/>
  <c r="AH54" i="1"/>
  <c r="AI54" i="1"/>
  <c r="CW54" i="1" s="1"/>
  <c r="V54" i="1" s="1"/>
  <c r="AJ54" i="1"/>
  <c r="CT54" i="1"/>
  <c r="S54" i="1" s="1"/>
  <c r="K110" i="6" s="1"/>
  <c r="CU54" i="1"/>
  <c r="CV54" i="1"/>
  <c r="CX54" i="1"/>
  <c r="W54" i="1" s="1"/>
  <c r="FR54" i="1"/>
  <c r="GK54" i="1"/>
  <c r="GL54" i="1"/>
  <c r="GO54" i="1"/>
  <c r="GP54" i="1"/>
  <c r="GV54" i="1"/>
  <c r="GX54" i="1" s="1"/>
  <c r="C55" i="1"/>
  <c r="D55" i="1"/>
  <c r="P55" i="1"/>
  <c r="U55" i="1"/>
  <c r="V55" i="1"/>
  <c r="AC55" i="1"/>
  <c r="AE55" i="1"/>
  <c r="AD55" i="1" s="1"/>
  <c r="AF55" i="1"/>
  <c r="AG55" i="1"/>
  <c r="AH55" i="1"/>
  <c r="AI55" i="1"/>
  <c r="AJ55" i="1"/>
  <c r="CQ55" i="1"/>
  <c r="CS55" i="1"/>
  <c r="R55" i="1" s="1"/>
  <c r="GK55" i="1" s="1"/>
  <c r="CT55" i="1"/>
  <c r="S55" i="1" s="1"/>
  <c r="CU55" i="1"/>
  <c r="T55" i="1" s="1"/>
  <c r="CV55" i="1"/>
  <c r="CW55" i="1"/>
  <c r="CX55" i="1"/>
  <c r="W55" i="1" s="1"/>
  <c r="FR55" i="1"/>
  <c r="GL55" i="1"/>
  <c r="GO55" i="1"/>
  <c r="GP55" i="1"/>
  <c r="GV55" i="1"/>
  <c r="GX55" i="1"/>
  <c r="I56" i="1"/>
  <c r="E115" i="6" s="1"/>
  <c r="CQ56" i="1"/>
  <c r="AE56" i="1"/>
  <c r="AD56" i="1" s="1"/>
  <c r="AF56" i="1"/>
  <c r="CT56" i="1" s="1"/>
  <c r="AG56" i="1"/>
  <c r="CU56" i="1" s="1"/>
  <c r="T56" i="1" s="1"/>
  <c r="AH56" i="1"/>
  <c r="AI56" i="1"/>
  <c r="AJ56" i="1"/>
  <c r="CX56" i="1" s="1"/>
  <c r="CS56" i="1"/>
  <c r="R56" i="1" s="1"/>
  <c r="GK56" i="1" s="1"/>
  <c r="CV56" i="1"/>
  <c r="CW56" i="1"/>
  <c r="V56" i="1" s="1"/>
  <c r="FR56" i="1"/>
  <c r="GL56" i="1"/>
  <c r="GO56" i="1"/>
  <c r="GP56" i="1"/>
  <c r="GV56" i="1"/>
  <c r="GX56" i="1"/>
  <c r="I57" i="1"/>
  <c r="P42" i="8" s="1"/>
  <c r="O42" i="8" s="1"/>
  <c r="E42" i="8" s="1"/>
  <c r="G42" i="8" s="1"/>
  <c r="AC57" i="1"/>
  <c r="AE57" i="1"/>
  <c r="AD57" i="1" s="1"/>
  <c r="AF57" i="1"/>
  <c r="CT57" i="1" s="1"/>
  <c r="AG57" i="1"/>
  <c r="AH57" i="1"/>
  <c r="AI57" i="1"/>
  <c r="CW57" i="1" s="1"/>
  <c r="AJ57" i="1"/>
  <c r="CX57" i="1" s="1"/>
  <c r="CQ57" i="1"/>
  <c r="P57" i="1" s="1"/>
  <c r="CU57" i="1"/>
  <c r="CV57" i="1"/>
  <c r="FR57" i="1"/>
  <c r="GL57" i="1"/>
  <c r="GO57" i="1"/>
  <c r="GP57" i="1"/>
  <c r="GV57" i="1"/>
  <c r="I58" i="1"/>
  <c r="E117" i="6" s="1"/>
  <c r="AB58" i="1"/>
  <c r="AD58" i="1"/>
  <c r="CR58" i="1" s="1"/>
  <c r="AE58" i="1"/>
  <c r="CS58" i="1" s="1"/>
  <c r="AF58" i="1"/>
  <c r="AG58" i="1"/>
  <c r="AH58" i="1"/>
  <c r="CV58" i="1" s="1"/>
  <c r="AI58" i="1"/>
  <c r="CW58" i="1" s="1"/>
  <c r="AJ58" i="1"/>
  <c r="CQ58" i="1"/>
  <c r="CT58" i="1"/>
  <c r="CU58" i="1"/>
  <c r="CX58" i="1"/>
  <c r="W58" i="1" s="1"/>
  <c r="FR58" i="1"/>
  <c r="GL58" i="1"/>
  <c r="GO58" i="1"/>
  <c r="GP58" i="1"/>
  <c r="GV58" i="1"/>
  <c r="I59" i="1"/>
  <c r="P39" i="8" s="1"/>
  <c r="O39" i="8" s="1"/>
  <c r="E39" i="8" s="1"/>
  <c r="G39" i="8" s="1"/>
  <c r="AC59" i="1"/>
  <c r="AB59" i="1" s="1"/>
  <c r="AD59" i="1"/>
  <c r="CR59" i="1" s="1"/>
  <c r="Q59" i="1" s="1"/>
  <c r="AE59" i="1"/>
  <c r="AF59" i="1"/>
  <c r="AG59" i="1"/>
  <c r="CU59" i="1" s="1"/>
  <c r="AH59" i="1"/>
  <c r="CV59" i="1" s="1"/>
  <c r="U59" i="1" s="1"/>
  <c r="AI59" i="1"/>
  <c r="AJ59" i="1"/>
  <c r="CS59" i="1"/>
  <c r="CT59" i="1"/>
  <c r="S59" i="1" s="1"/>
  <c r="CW59" i="1"/>
  <c r="CX59" i="1"/>
  <c r="W59" i="1" s="1"/>
  <c r="FR59" i="1"/>
  <c r="GL59" i="1"/>
  <c r="GO59" i="1"/>
  <c r="GP59" i="1"/>
  <c r="GV59" i="1"/>
  <c r="GX59" i="1"/>
  <c r="I60" i="1"/>
  <c r="CQ60" i="1"/>
  <c r="AE60" i="1"/>
  <c r="AD60" i="1" s="1"/>
  <c r="CR60" i="1" s="1"/>
  <c r="AF60" i="1"/>
  <c r="CT60" i="1" s="1"/>
  <c r="AG60" i="1"/>
  <c r="CU60" i="1" s="1"/>
  <c r="AH60" i="1"/>
  <c r="AI60" i="1"/>
  <c r="AJ60" i="1"/>
  <c r="CX60" i="1" s="1"/>
  <c r="CS60" i="1"/>
  <c r="CV60" i="1"/>
  <c r="CW60" i="1"/>
  <c r="FR60" i="1"/>
  <c r="GL60" i="1"/>
  <c r="GO60" i="1"/>
  <c r="GP60" i="1"/>
  <c r="GV60" i="1"/>
  <c r="GX60" i="1"/>
  <c r="I61" i="1"/>
  <c r="P37" i="8" s="1"/>
  <c r="O37" i="8" s="1"/>
  <c r="E37" i="8" s="1"/>
  <c r="G37" i="8" s="1"/>
  <c r="AC61" i="1"/>
  <c r="AE61" i="1"/>
  <c r="AF61" i="1"/>
  <c r="CT61" i="1" s="1"/>
  <c r="AG61" i="1"/>
  <c r="AH61" i="1"/>
  <c r="AI61" i="1"/>
  <c r="CW61" i="1" s="1"/>
  <c r="AJ61" i="1"/>
  <c r="CX61" i="1" s="1"/>
  <c r="CQ61" i="1"/>
  <c r="P61" i="1" s="1"/>
  <c r="CU61" i="1"/>
  <c r="CV61" i="1"/>
  <c r="FR61" i="1"/>
  <c r="GL61" i="1"/>
  <c r="GO61" i="1"/>
  <c r="GP61" i="1"/>
  <c r="GV61" i="1"/>
  <c r="B63" i="1"/>
  <c r="B22" i="1" s="1"/>
  <c r="C63" i="1"/>
  <c r="C22" i="1" s="1"/>
  <c r="D63" i="1"/>
  <c r="D22" i="1" s="1"/>
  <c r="F63" i="1"/>
  <c r="F22" i="1" s="1"/>
  <c r="G63" i="1"/>
  <c r="G22" i="1" s="1"/>
  <c r="BB63" i="1"/>
  <c r="BB22" i="1" s="1"/>
  <c r="BX63" i="1"/>
  <c r="BX22" i="1" s="1"/>
  <c r="CK63" i="1"/>
  <c r="CK22" i="1" s="1"/>
  <c r="CL63" i="1"/>
  <c r="CL22" i="1" s="1"/>
  <c r="ET63" i="1"/>
  <c r="ET22" i="1" s="1"/>
  <c r="FP63" i="1"/>
  <c r="FP22" i="1" s="1"/>
  <c r="GC63" i="1"/>
  <c r="GC22" i="1" s="1"/>
  <c r="GD63" i="1"/>
  <c r="F76" i="1"/>
  <c r="P76" i="1"/>
  <c r="B92" i="1"/>
  <c r="B18" i="1" s="1"/>
  <c r="C92" i="1"/>
  <c r="C18" i="1" s="1"/>
  <c r="D92" i="1"/>
  <c r="D18" i="1" s="1"/>
  <c r="F92" i="1"/>
  <c r="F18" i="1" s="1"/>
  <c r="G92" i="1"/>
  <c r="G18" i="1" s="1"/>
  <c r="BB92" i="1"/>
  <c r="BB18" i="1" s="1"/>
  <c r="ET92" i="1"/>
  <c r="F105" i="1"/>
  <c r="GX61" i="1" l="1"/>
  <c r="W61" i="1"/>
  <c r="V60" i="1"/>
  <c r="E119" i="6"/>
  <c r="GX58" i="1"/>
  <c r="P58" i="1"/>
  <c r="W52" i="1"/>
  <c r="E108" i="6"/>
  <c r="GK40" i="1"/>
  <c r="M84" i="6"/>
  <c r="T53" i="1"/>
  <c r="P38" i="8"/>
  <c r="O38" i="8" s="1"/>
  <c r="E38" i="8" s="1"/>
  <c r="G38" i="8" s="1"/>
  <c r="V52" i="1"/>
  <c r="R52" i="1"/>
  <c r="GK52" i="1" s="1"/>
  <c r="GK36" i="1"/>
  <c r="M74" i="6"/>
  <c r="T61" i="1"/>
  <c r="T58" i="1"/>
  <c r="V58" i="1"/>
  <c r="R58" i="1"/>
  <c r="GK58" i="1" s="1"/>
  <c r="GX52" i="1"/>
  <c r="Q52" i="1"/>
  <c r="CP52" i="1" s="1"/>
  <c r="O52" i="1" s="1"/>
  <c r="J108" i="6" s="1"/>
  <c r="V50" i="1"/>
  <c r="Q50" i="1"/>
  <c r="GK44" i="1"/>
  <c r="M94" i="6"/>
  <c r="CZ30" i="1"/>
  <c r="Y30" i="1" s="1"/>
  <c r="J64" i="6" s="1"/>
  <c r="K62" i="6"/>
  <c r="GK28" i="1"/>
  <c r="M57" i="6"/>
  <c r="GK26" i="1"/>
  <c r="M52" i="6"/>
  <c r="GK24" i="1"/>
  <c r="M47" i="6"/>
  <c r="U51" i="1"/>
  <c r="P41" i="8"/>
  <c r="O41" i="8" s="1"/>
  <c r="E41" i="8" s="1"/>
  <c r="G41" i="8" s="1"/>
  <c r="GK46" i="1"/>
  <c r="M99" i="6"/>
  <c r="GK32" i="1"/>
  <c r="M67" i="6"/>
  <c r="U56" i="1"/>
  <c r="P56" i="1"/>
  <c r="U60" i="1"/>
  <c r="P60" i="1"/>
  <c r="S58" i="1"/>
  <c r="U58" i="1"/>
  <c r="Q58" i="1"/>
  <c r="W56" i="1"/>
  <c r="S56" i="1"/>
  <c r="R59" i="1"/>
  <c r="GK59" i="1" s="1"/>
  <c r="T59" i="1"/>
  <c r="GX57" i="1"/>
  <c r="W57" i="1"/>
  <c r="S57" i="1"/>
  <c r="S61" i="1"/>
  <c r="U57" i="1"/>
  <c r="V57" i="1"/>
  <c r="U61" i="1"/>
  <c r="V61" i="1"/>
  <c r="V59" i="1"/>
  <c r="T57" i="1"/>
  <c r="P48" i="1"/>
  <c r="CY46" i="1"/>
  <c r="X46" i="1" s="1"/>
  <c r="J100" i="6" s="1"/>
  <c r="U52" i="1"/>
  <c r="W48" i="1"/>
  <c r="CZ52" i="1"/>
  <c r="Y52" i="1" s="1"/>
  <c r="GX48" i="1"/>
  <c r="S48" i="1"/>
  <c r="U48" i="1"/>
  <c r="W50" i="1"/>
  <c r="CZ46" i="1"/>
  <c r="Y46" i="1" s="1"/>
  <c r="J101" i="6" s="1"/>
  <c r="S50" i="1"/>
  <c r="CY50" i="1" s="1"/>
  <c r="X50" i="1" s="1"/>
  <c r="T48" i="1"/>
  <c r="V48" i="1"/>
  <c r="R48" i="1"/>
  <c r="GK48" i="1" s="1"/>
  <c r="GX53" i="1"/>
  <c r="R53" i="1"/>
  <c r="GK53" i="1" s="1"/>
  <c r="P53" i="1"/>
  <c r="W53" i="1"/>
  <c r="V53" i="1"/>
  <c r="S53" i="1"/>
  <c r="R51" i="1"/>
  <c r="BY63" i="1"/>
  <c r="BY22" i="1" s="1"/>
  <c r="P34" i="1"/>
  <c r="CY32" i="1"/>
  <c r="X32" i="1" s="1"/>
  <c r="J68" i="6" s="1"/>
  <c r="FU63" i="1"/>
  <c r="FU22" i="1" s="1"/>
  <c r="GX34" i="1"/>
  <c r="CJ63" i="1" s="1"/>
  <c r="CJ22" i="1" s="1"/>
  <c r="CY34" i="1"/>
  <c r="X34" i="1" s="1"/>
  <c r="T34" i="1"/>
  <c r="V34" i="1"/>
  <c r="O32" i="1"/>
  <c r="J67" i="6" s="1"/>
  <c r="CD63" i="1"/>
  <c r="CD22" i="1" s="1"/>
  <c r="O30" i="1"/>
  <c r="J62" i="6" s="1"/>
  <c r="BZ63" i="1"/>
  <c r="BZ22" i="1" s="1"/>
  <c r="FR63" i="1"/>
  <c r="FR22" i="1" s="1"/>
  <c r="FV63" i="1"/>
  <c r="EM63" i="1" s="1"/>
  <c r="FQ63" i="1"/>
  <c r="FQ22" i="1" s="1"/>
  <c r="CC63" i="1"/>
  <c r="CC22" i="1" s="1"/>
  <c r="AI63" i="1"/>
  <c r="AI22" i="1" s="1"/>
  <c r="ET18" i="1"/>
  <c r="P105" i="1"/>
  <c r="GD22" i="1"/>
  <c r="EU63" i="1"/>
  <c r="EG63" i="1"/>
  <c r="AO63" i="1"/>
  <c r="Q60" i="1"/>
  <c r="R60" i="1"/>
  <c r="GK60" i="1" s="1"/>
  <c r="CY55" i="1"/>
  <c r="X55" i="1" s="1"/>
  <c r="AB55" i="1"/>
  <c r="CR55" i="1"/>
  <c r="Q55" i="1" s="1"/>
  <c r="CP55" i="1" s="1"/>
  <c r="O55" i="1" s="1"/>
  <c r="AB51" i="1"/>
  <c r="CR51" i="1"/>
  <c r="Q51" i="1" s="1"/>
  <c r="CP51" i="1" s="1"/>
  <c r="O51" i="1" s="1"/>
  <c r="CZ50" i="1"/>
  <c r="Y50" i="1" s="1"/>
  <c r="CY54" i="1"/>
  <c r="X54" i="1" s="1"/>
  <c r="J111" i="6" s="1"/>
  <c r="CZ54" i="1"/>
  <c r="Y54" i="1" s="1"/>
  <c r="J112" i="6" s="1"/>
  <c r="GK51" i="1"/>
  <c r="CZ51" i="1"/>
  <c r="Y51" i="1" s="1"/>
  <c r="CZ45" i="1"/>
  <c r="Y45" i="1" s="1"/>
  <c r="CY45" i="1"/>
  <c r="X45" i="1" s="1"/>
  <c r="CP45" i="1"/>
  <c r="O45" i="1" s="1"/>
  <c r="BC63" i="1"/>
  <c r="T60" i="1"/>
  <c r="AB60" i="1"/>
  <c r="CY58" i="1"/>
  <c r="X58" i="1" s="1"/>
  <c r="CZ58" i="1"/>
  <c r="Y58" i="1" s="1"/>
  <c r="CR57" i="1"/>
  <c r="Q57" i="1" s="1"/>
  <c r="CP57" i="1" s="1"/>
  <c r="O57" i="1" s="1"/>
  <c r="AB57" i="1"/>
  <c r="CZ56" i="1"/>
  <c r="Y56" i="1" s="1"/>
  <c r="CY56" i="1"/>
  <c r="X56" i="1" s="1"/>
  <c r="CZ53" i="1"/>
  <c r="Y53" i="1" s="1"/>
  <c r="CY53" i="1"/>
  <c r="X53" i="1" s="1"/>
  <c r="AD61" i="1"/>
  <c r="CS61" i="1"/>
  <c r="R61" i="1" s="1"/>
  <c r="CY61" i="1" s="1"/>
  <c r="X61" i="1" s="1"/>
  <c r="W60" i="1"/>
  <c r="S60" i="1"/>
  <c r="CY59" i="1"/>
  <c r="X59" i="1" s="1"/>
  <c r="CZ59" i="1"/>
  <c r="Y59" i="1" s="1"/>
  <c r="CR56" i="1"/>
  <c r="Q56" i="1" s="1"/>
  <c r="AB56" i="1"/>
  <c r="CY51" i="1"/>
  <c r="X51" i="1" s="1"/>
  <c r="CZ55" i="1"/>
  <c r="Y55" i="1" s="1"/>
  <c r="CR54" i="1"/>
  <c r="Q54" i="1" s="1"/>
  <c r="U53" i="1"/>
  <c r="Q53" i="1"/>
  <c r="CP53" i="1" s="1"/>
  <c r="O53" i="1" s="1"/>
  <c r="CY52" i="1"/>
  <c r="X52" i="1" s="1"/>
  <c r="U50" i="1"/>
  <c r="AH63" i="1" s="1"/>
  <c r="T50" i="1"/>
  <c r="AG63" i="1" s="1"/>
  <c r="AB50" i="1"/>
  <c r="AB49" i="1"/>
  <c r="CX100" i="3"/>
  <c r="CX104" i="3"/>
  <c r="CX101" i="3"/>
  <c r="CX105" i="3"/>
  <c r="CX102" i="3"/>
  <c r="CX106" i="3"/>
  <c r="CX99" i="3"/>
  <c r="CX103" i="3"/>
  <c r="P23" i="8" s="1"/>
  <c r="O23" i="8" s="1"/>
  <c r="E23" i="8" s="1"/>
  <c r="G23" i="8" s="1"/>
  <c r="I49" i="1"/>
  <c r="AB45" i="1"/>
  <c r="U43" i="1"/>
  <c r="W43" i="1"/>
  <c r="S43" i="1"/>
  <c r="CY39" i="1"/>
  <c r="X39" i="1" s="1"/>
  <c r="CZ39" i="1"/>
  <c r="Y39" i="1" s="1"/>
  <c r="CP37" i="1"/>
  <c r="O37" i="1" s="1"/>
  <c r="GK34" i="1"/>
  <c r="CZ34" i="1"/>
  <c r="Y34" i="1" s="1"/>
  <c r="CP31" i="1"/>
  <c r="O31" i="1" s="1"/>
  <c r="CQ59" i="1"/>
  <c r="P59" i="1" s="1"/>
  <c r="CP59" i="1" s="1"/>
  <c r="O59" i="1" s="1"/>
  <c r="CS57" i="1"/>
  <c r="R57" i="1" s="1"/>
  <c r="GK57" i="1" s="1"/>
  <c r="CQ44" i="1"/>
  <c r="P44" i="1" s="1"/>
  <c r="T43" i="1"/>
  <c r="Q43" i="1"/>
  <c r="CY41" i="1"/>
  <c r="X41" i="1" s="1"/>
  <c r="CZ41" i="1"/>
  <c r="Y41" i="1" s="1"/>
  <c r="CQ40" i="1"/>
  <c r="P40" i="1" s="1"/>
  <c r="CR39" i="1"/>
  <c r="Q39" i="1" s="1"/>
  <c r="CP39" i="1" s="1"/>
  <c r="O39" i="1" s="1"/>
  <c r="AB39" i="1"/>
  <c r="CP47" i="1"/>
  <c r="O47" i="1" s="1"/>
  <c r="CX84" i="3"/>
  <c r="CX85" i="3"/>
  <c r="CX82" i="3"/>
  <c r="CX86" i="3"/>
  <c r="P25" i="8" s="1"/>
  <c r="O25" i="8" s="1"/>
  <c r="E25" i="8" s="1"/>
  <c r="G25" i="8" s="1"/>
  <c r="CX83" i="3"/>
  <c r="CP41" i="1"/>
  <c r="O41" i="1" s="1"/>
  <c r="CR36" i="1"/>
  <c r="Q36" i="1" s="1"/>
  <c r="L74" i="6" s="1"/>
  <c r="CX116" i="3"/>
  <c r="CX113" i="3"/>
  <c r="CX117" i="3"/>
  <c r="CX114" i="3"/>
  <c r="CX118" i="3"/>
  <c r="CX115" i="3"/>
  <c r="AB52" i="1"/>
  <c r="P50" i="1"/>
  <c r="AD48" i="1"/>
  <c r="CR48" i="1" s="1"/>
  <c r="Q48" i="1" s="1"/>
  <c r="CY47" i="1"/>
  <c r="X47" i="1" s="1"/>
  <c r="CR46" i="1"/>
  <c r="Q46" i="1" s="1"/>
  <c r="CP46" i="1" s="1"/>
  <c r="CZ44" i="1"/>
  <c r="Y44" i="1" s="1"/>
  <c r="J96" i="6" s="1"/>
  <c r="CY44" i="1"/>
  <c r="X44" i="1" s="1"/>
  <c r="J95" i="6" s="1"/>
  <c r="P43" i="1"/>
  <c r="AB43" i="1"/>
  <c r="CR42" i="1"/>
  <c r="Q42" i="1" s="1"/>
  <c r="CS42" i="1"/>
  <c r="R42" i="1" s="1"/>
  <c r="AB41" i="1"/>
  <c r="CZ40" i="1"/>
  <c r="Y40" i="1" s="1"/>
  <c r="J86" i="6" s="1"/>
  <c r="CY40" i="1"/>
  <c r="X40" i="1" s="1"/>
  <c r="J85" i="6" s="1"/>
  <c r="O38" i="1"/>
  <c r="J79" i="6" s="1"/>
  <c r="CR34" i="1"/>
  <c r="Q34" i="1" s="1"/>
  <c r="AB34" i="1"/>
  <c r="CY33" i="1"/>
  <c r="X33" i="1" s="1"/>
  <c r="CZ33" i="1"/>
  <c r="Y33" i="1" s="1"/>
  <c r="CP33" i="1"/>
  <c r="O33" i="1" s="1"/>
  <c r="CY31" i="1"/>
  <c r="X31" i="1" s="1"/>
  <c r="CZ31" i="1"/>
  <c r="Y31" i="1" s="1"/>
  <c r="CZ29" i="1"/>
  <c r="Y29" i="1" s="1"/>
  <c r="CY29" i="1"/>
  <c r="X29" i="1" s="1"/>
  <c r="CX108" i="3"/>
  <c r="CX112" i="3"/>
  <c r="CX109" i="3"/>
  <c r="CX110" i="3"/>
  <c r="CX107" i="3"/>
  <c r="CX111" i="3"/>
  <c r="CX92" i="3"/>
  <c r="CX96" i="3"/>
  <c r="CX93" i="3"/>
  <c r="CX97" i="3"/>
  <c r="CX94" i="3"/>
  <c r="CX98" i="3"/>
  <c r="CX91" i="3"/>
  <c r="CX95" i="3"/>
  <c r="CX80" i="3"/>
  <c r="CX77" i="3"/>
  <c r="CX81" i="3"/>
  <c r="CX78" i="3"/>
  <c r="CX79" i="3"/>
  <c r="CS38" i="1"/>
  <c r="R38" i="1" s="1"/>
  <c r="M79" i="6" s="1"/>
  <c r="CX56" i="3"/>
  <c r="CX53" i="3"/>
  <c r="CX57" i="3"/>
  <c r="CX54" i="3"/>
  <c r="CX58" i="3"/>
  <c r="CX55" i="3"/>
  <c r="CX59" i="3"/>
  <c r="W36" i="1"/>
  <c r="AJ63" i="1" s="1"/>
  <c r="S36" i="1"/>
  <c r="K74" i="6" s="1"/>
  <c r="CX40" i="3"/>
  <c r="CX44" i="3"/>
  <c r="P27" i="8" s="1"/>
  <c r="O27" i="8" s="1"/>
  <c r="E27" i="8" s="1"/>
  <c r="G27" i="8" s="1"/>
  <c r="CX48" i="3"/>
  <c r="CX41" i="3"/>
  <c r="CX45" i="3"/>
  <c r="P29" i="8" s="1"/>
  <c r="O29" i="8" s="1"/>
  <c r="E29" i="8" s="1"/>
  <c r="G29" i="8" s="1"/>
  <c r="CX42" i="3"/>
  <c r="CX46" i="3"/>
  <c r="P30" i="8" s="1"/>
  <c r="O30" i="8" s="1"/>
  <c r="E30" i="8" s="1"/>
  <c r="G30" i="8" s="1"/>
  <c r="CX43" i="3"/>
  <c r="P22" i="8" s="1"/>
  <c r="O22" i="8" s="1"/>
  <c r="E22" i="8" s="1"/>
  <c r="G22" i="8" s="1"/>
  <c r="CX47" i="3"/>
  <c r="P28" i="8" s="1"/>
  <c r="O28" i="8" s="1"/>
  <c r="E28" i="8" s="1"/>
  <c r="G28" i="8" s="1"/>
  <c r="I35" i="1"/>
  <c r="CX32" i="3"/>
  <c r="CX36" i="3"/>
  <c r="CX33" i="3"/>
  <c r="CX37" i="3"/>
  <c r="CX34" i="3"/>
  <c r="CX38" i="3"/>
  <c r="CX31" i="3"/>
  <c r="CX35" i="3"/>
  <c r="CX39" i="3"/>
  <c r="P29" i="1"/>
  <c r="CP29" i="1" s="1"/>
  <c r="O29" i="1" s="1"/>
  <c r="O28" i="1"/>
  <c r="J57" i="6" s="1"/>
  <c r="CP27" i="1"/>
  <c r="O27" i="1" s="1"/>
  <c r="CX60" i="3"/>
  <c r="CX64" i="3"/>
  <c r="P26" i="8" s="1"/>
  <c r="CX61" i="3"/>
  <c r="CX65" i="3"/>
  <c r="P31" i="8" s="1"/>
  <c r="O31" i="8" s="1"/>
  <c r="E31" i="8" s="1"/>
  <c r="G31" i="8" s="1"/>
  <c r="CX62" i="3"/>
  <c r="CX66" i="3"/>
  <c r="P33" i="8" s="1"/>
  <c r="CX63" i="3"/>
  <c r="CX52" i="3"/>
  <c r="CX51" i="3"/>
  <c r="CX49" i="3"/>
  <c r="CX50" i="3"/>
  <c r="V35" i="1"/>
  <c r="CY28" i="1"/>
  <c r="X28" i="1" s="1"/>
  <c r="J58" i="6" s="1"/>
  <c r="CY26" i="1"/>
  <c r="X26" i="1" s="1"/>
  <c r="J53" i="6" s="1"/>
  <c r="CZ26" i="1"/>
  <c r="Y26" i="1" s="1"/>
  <c r="J54" i="6" s="1"/>
  <c r="CX88" i="3"/>
  <c r="CX87" i="3"/>
  <c r="CX68" i="3"/>
  <c r="CX69" i="3"/>
  <c r="CX70" i="3"/>
  <c r="CX67" i="3"/>
  <c r="CX71" i="3"/>
  <c r="R37" i="1"/>
  <c r="AD35" i="1"/>
  <c r="CR35" i="1" s="1"/>
  <c r="AB31" i="1"/>
  <c r="CZ28" i="1"/>
  <c r="Y28" i="1" s="1"/>
  <c r="J59" i="6" s="1"/>
  <c r="CX89" i="3"/>
  <c r="CX90" i="3"/>
  <c r="R24" i="8" s="1"/>
  <c r="CX72" i="3"/>
  <c r="CX76" i="3"/>
  <c r="Q33" i="8" s="1"/>
  <c r="O33" i="8" s="1"/>
  <c r="E33" i="8" s="1"/>
  <c r="G33" i="8" s="1"/>
  <c r="CX73" i="3"/>
  <c r="CX74" i="3"/>
  <c r="CX75" i="3"/>
  <c r="Q26" i="8" s="1"/>
  <c r="GX37" i="1"/>
  <c r="AB35" i="1"/>
  <c r="AB33" i="1"/>
  <c r="CZ32" i="1"/>
  <c r="Y32" i="1" s="1"/>
  <c r="J69" i="6" s="1"/>
  <c r="CY30" i="1"/>
  <c r="X30" i="1" s="1"/>
  <c r="CX20" i="3"/>
  <c r="CX21" i="3"/>
  <c r="CX22" i="3"/>
  <c r="Q32" i="8" s="1"/>
  <c r="CY27" i="1"/>
  <c r="X27" i="1" s="1"/>
  <c r="CZ27" i="1"/>
  <c r="Y27" i="1" s="1"/>
  <c r="CZ25" i="1"/>
  <c r="Y25" i="1" s="1"/>
  <c r="CY25" i="1"/>
  <c r="X25" i="1" s="1"/>
  <c r="CX28" i="3"/>
  <c r="CX29" i="3"/>
  <c r="Q24" i="8" s="1"/>
  <c r="O24" i="8" s="1"/>
  <c r="E24" i="8" s="1"/>
  <c r="G24" i="8" s="1"/>
  <c r="CX30" i="3"/>
  <c r="R32" i="8" s="1"/>
  <c r="CX27" i="3"/>
  <c r="CX16" i="3"/>
  <c r="P32" i="8" s="1"/>
  <c r="O32" i="8" s="1"/>
  <c r="E32" i="8" s="1"/>
  <c r="G32" i="8" s="1"/>
  <c r="CX13" i="3"/>
  <c r="CX14" i="3"/>
  <c r="CX15" i="3"/>
  <c r="P24" i="8" s="1"/>
  <c r="CX17" i="3"/>
  <c r="CX18" i="3"/>
  <c r="CX19" i="3"/>
  <c r="CQ26" i="1"/>
  <c r="P26" i="1" s="1"/>
  <c r="CQ25" i="1"/>
  <c r="P25" i="1" s="1"/>
  <c r="CY24" i="1"/>
  <c r="X24" i="1" s="1"/>
  <c r="J48" i="6" s="1"/>
  <c r="CZ24" i="1"/>
  <c r="Y24" i="1" s="1"/>
  <c r="J49" i="6" s="1"/>
  <c r="CX24" i="3"/>
  <c r="CX25" i="3"/>
  <c r="CX26" i="3"/>
  <c r="CX23" i="3"/>
  <c r="CQ24" i="1"/>
  <c r="P24" i="1" s="1"/>
  <c r="CP24" i="1" s="1"/>
  <c r="CX11" i="3"/>
  <c r="CX7" i="3"/>
  <c r="CX3" i="3"/>
  <c r="CX10" i="3"/>
  <c r="CX6" i="3"/>
  <c r="CX2" i="3"/>
  <c r="CX9" i="3"/>
  <c r="CX5" i="3"/>
  <c r="CX1" i="3"/>
  <c r="CP26" i="1" l="1"/>
  <c r="O26" i="1" s="1"/>
  <c r="CP43" i="1"/>
  <c r="O43" i="1" s="1"/>
  <c r="O40" i="1"/>
  <c r="J84" i="6" s="1"/>
  <c r="J87" i="6" s="1"/>
  <c r="CP40" i="1"/>
  <c r="CP34" i="1"/>
  <c r="O34" i="1" s="1"/>
  <c r="J72" i="6" s="1"/>
  <c r="S35" i="1"/>
  <c r="P43" i="8"/>
  <c r="O43" i="8" s="1"/>
  <c r="E43" i="8" s="1"/>
  <c r="G43" i="8" s="1"/>
  <c r="CY42" i="1"/>
  <c r="X42" i="1" s="1"/>
  <c r="J90" i="6" s="1"/>
  <c r="M89" i="6"/>
  <c r="O48" i="1"/>
  <c r="J104" i="6" s="1"/>
  <c r="CP44" i="1"/>
  <c r="O44" i="1" s="1"/>
  <c r="J70" i="6"/>
  <c r="CP60" i="1"/>
  <c r="CP36" i="1"/>
  <c r="J60" i="6"/>
  <c r="L89" i="6"/>
  <c r="CP50" i="1"/>
  <c r="O50" i="1" s="1"/>
  <c r="W49" i="1"/>
  <c r="P40" i="8"/>
  <c r="O40" i="8" s="1"/>
  <c r="E40" i="8" s="1"/>
  <c r="G40" i="8" s="1"/>
  <c r="G44" i="8" s="1"/>
  <c r="M44" i="8" s="1"/>
  <c r="L110" i="6"/>
  <c r="CP58" i="1"/>
  <c r="O58" i="1" s="1"/>
  <c r="J117" i="6" s="1"/>
  <c r="CP42" i="1"/>
  <c r="O42" i="1" s="1"/>
  <c r="J89" i="6" s="1"/>
  <c r="GM30" i="1"/>
  <c r="J63" i="6"/>
  <c r="O26" i="8"/>
  <c r="E26" i="8" s="1"/>
  <c r="G26" i="8" s="1"/>
  <c r="G35" i="8" s="1"/>
  <c r="M35" i="8" s="1"/>
  <c r="O46" i="1"/>
  <c r="J99" i="6" s="1"/>
  <c r="J102" i="6" s="1"/>
  <c r="L99" i="6"/>
  <c r="GM52" i="1"/>
  <c r="J65" i="6"/>
  <c r="CP48" i="1"/>
  <c r="CP56" i="1"/>
  <c r="O56" i="1" s="1"/>
  <c r="CP54" i="1"/>
  <c r="O54" i="1" s="1"/>
  <c r="O60" i="1"/>
  <c r="J119" i="6" s="1"/>
  <c r="EA63" i="1"/>
  <c r="DN63" i="1" s="1"/>
  <c r="U49" i="1"/>
  <c r="V49" i="1"/>
  <c r="R49" i="1"/>
  <c r="GK49" i="1" s="1"/>
  <c r="Q49" i="1"/>
  <c r="AP63" i="1"/>
  <c r="CZ48" i="1"/>
  <c r="Y48" i="1" s="1"/>
  <c r="CY48" i="1"/>
  <c r="X48" i="1" s="1"/>
  <c r="O36" i="1"/>
  <c r="J74" i="6" s="1"/>
  <c r="EL63" i="1"/>
  <c r="P81" i="1" s="1"/>
  <c r="U16" i="2" s="1"/>
  <c r="U18" i="2" s="1"/>
  <c r="GM32" i="1"/>
  <c r="BA63" i="1"/>
  <c r="FY63" i="1"/>
  <c r="FY22" i="1" s="1"/>
  <c r="AU63" i="1"/>
  <c r="Q35" i="1"/>
  <c r="R35" i="1"/>
  <c r="FV22" i="1"/>
  <c r="CI63" i="1"/>
  <c r="AZ63" i="1" s="1"/>
  <c r="DK121" i="6" s="1"/>
  <c r="AQ63" i="1"/>
  <c r="CG63" i="1"/>
  <c r="CG22" i="1" s="1"/>
  <c r="EI63" i="1"/>
  <c r="EI92" i="1" s="1"/>
  <c r="GA63" i="1"/>
  <c r="GA22" i="1" s="1"/>
  <c r="EH63" i="1"/>
  <c r="EH22" i="1" s="1"/>
  <c r="AT63" i="1"/>
  <c r="V63" i="1"/>
  <c r="EL22" i="1"/>
  <c r="GN46" i="1"/>
  <c r="GM53" i="1"/>
  <c r="GN53" i="1"/>
  <c r="O24" i="1"/>
  <c r="J47" i="6" s="1"/>
  <c r="J50" i="6" s="1"/>
  <c r="AC63" i="1"/>
  <c r="CZ35" i="1"/>
  <c r="Y35" i="1" s="1"/>
  <c r="CY35" i="1"/>
  <c r="X35" i="1" s="1"/>
  <c r="AJ22" i="1"/>
  <c r="W63" i="1"/>
  <c r="DM121" i="6" s="1"/>
  <c r="GK38" i="1"/>
  <c r="AE63" i="1"/>
  <c r="GN33" i="1"/>
  <c r="GM33" i="1"/>
  <c r="AD63" i="1"/>
  <c r="U35" i="1"/>
  <c r="DZ63" i="1" s="1"/>
  <c r="CY38" i="1"/>
  <c r="X38" i="1" s="1"/>
  <c r="J80" i="6" s="1"/>
  <c r="GM47" i="1"/>
  <c r="GN47" i="1"/>
  <c r="GN55" i="1"/>
  <c r="GM55" i="1"/>
  <c r="GN32" i="1"/>
  <c r="AB48" i="1"/>
  <c r="AH22" i="1"/>
  <c r="U63" i="1"/>
  <c r="CW121" i="6" s="1"/>
  <c r="L40" i="6" s="1"/>
  <c r="GN52" i="1"/>
  <c r="CY57" i="1"/>
  <c r="X57" i="1" s="1"/>
  <c r="BA22" i="1"/>
  <c r="BA92" i="1"/>
  <c r="EU22" i="1"/>
  <c r="EU92" i="1"/>
  <c r="P79" i="1"/>
  <c r="GM34" i="1"/>
  <c r="GN34" i="1"/>
  <c r="GM28" i="1"/>
  <c r="GN28" i="1"/>
  <c r="T35" i="1"/>
  <c r="GN41" i="1"/>
  <c r="GM41" i="1"/>
  <c r="GN30" i="1"/>
  <c r="P35" i="1"/>
  <c r="GN59" i="1"/>
  <c r="GM59" i="1"/>
  <c r="GK61" i="1"/>
  <c r="CZ61" i="1"/>
  <c r="Y61" i="1" s="1"/>
  <c r="BC22" i="1"/>
  <c r="F79" i="1"/>
  <c r="BC92" i="1"/>
  <c r="CP25" i="1"/>
  <c r="O25" i="1" s="1"/>
  <c r="GK37" i="1"/>
  <c r="CY37" i="1"/>
  <c r="X37" i="1" s="1"/>
  <c r="GK35" i="1"/>
  <c r="DW63" i="1"/>
  <c r="GM29" i="1"/>
  <c r="GN29" i="1"/>
  <c r="GX35" i="1"/>
  <c r="W35" i="1"/>
  <c r="EB63" i="1" s="1"/>
  <c r="GM40" i="1"/>
  <c r="GN40" i="1"/>
  <c r="GN31" i="1"/>
  <c r="GM31" i="1"/>
  <c r="CY43" i="1"/>
  <c r="X43" i="1" s="1"/>
  <c r="CZ43" i="1"/>
  <c r="Y43" i="1" s="1"/>
  <c r="AB61" i="1"/>
  <c r="CR61" i="1"/>
  <c r="Q61" i="1" s="1"/>
  <c r="CP61" i="1" s="1"/>
  <c r="O61" i="1" s="1"/>
  <c r="GN45" i="1"/>
  <c r="GM45" i="1"/>
  <c r="EG22" i="1"/>
  <c r="P67" i="1"/>
  <c r="EG92" i="1"/>
  <c r="EM22" i="1"/>
  <c r="EM92" i="1"/>
  <c r="P82" i="1"/>
  <c r="EA22" i="1"/>
  <c r="GM27" i="1"/>
  <c r="GN27" i="1"/>
  <c r="CY36" i="1"/>
  <c r="X36" i="1" s="1"/>
  <c r="J75" i="6" s="1"/>
  <c r="CZ36" i="1"/>
  <c r="Y36" i="1" s="1"/>
  <c r="J76" i="6" s="1"/>
  <c r="AF63" i="1"/>
  <c r="GM39" i="1"/>
  <c r="GN39" i="1"/>
  <c r="GK42" i="1"/>
  <c r="CZ42" i="1"/>
  <c r="Y42" i="1" s="1"/>
  <c r="CZ38" i="1"/>
  <c r="Y38" i="1" s="1"/>
  <c r="GM51" i="1"/>
  <c r="GN51" i="1"/>
  <c r="CZ37" i="1"/>
  <c r="Y37" i="1" s="1"/>
  <c r="GX49" i="1"/>
  <c r="T49" i="1"/>
  <c r="P49" i="1"/>
  <c r="AG22" i="1"/>
  <c r="T63" i="1"/>
  <c r="DL121" i="6" s="1"/>
  <c r="CZ60" i="1"/>
  <c r="Y60" i="1" s="1"/>
  <c r="CY60" i="1"/>
  <c r="X60" i="1" s="1"/>
  <c r="GM60" i="1" s="1"/>
  <c r="S49" i="1"/>
  <c r="DX63" i="1" s="1"/>
  <c r="EI22" i="1"/>
  <c r="CZ57" i="1"/>
  <c r="Y57" i="1" s="1"/>
  <c r="AO22" i="1"/>
  <c r="F67" i="1"/>
  <c r="AO92" i="1"/>
  <c r="G46" i="8" l="1"/>
  <c r="J106" i="6"/>
  <c r="GM50" i="1"/>
  <c r="GN50" i="1"/>
  <c r="J52" i="6"/>
  <c r="J55" i="6" s="1"/>
  <c r="GM26" i="1"/>
  <c r="GN26" i="1"/>
  <c r="J110" i="6"/>
  <c r="J113" i="6" s="1"/>
  <c r="GN54" i="1"/>
  <c r="GM54" i="1"/>
  <c r="J115" i="6"/>
  <c r="GM56" i="1"/>
  <c r="GN56" i="1"/>
  <c r="J94" i="6"/>
  <c r="J97" i="6" s="1"/>
  <c r="GM44" i="1"/>
  <c r="GN44" i="1"/>
  <c r="J92" i="6"/>
  <c r="J82" i="6"/>
  <c r="GN38" i="1"/>
  <c r="J81" i="6"/>
  <c r="J77" i="6"/>
  <c r="GN42" i="1"/>
  <c r="J91" i="6"/>
  <c r="GM48" i="1"/>
  <c r="F81" i="1"/>
  <c r="F16" i="2" s="1"/>
  <c r="F18" i="2" s="1"/>
  <c r="DR121" i="6"/>
  <c r="I129" i="6" s="1"/>
  <c r="F135" i="6"/>
  <c r="J135" i="6" s="1"/>
  <c r="AE132" i="6" s="1"/>
  <c r="F83" i="1"/>
  <c r="DW121" i="6"/>
  <c r="GM58" i="1"/>
  <c r="F73" i="1"/>
  <c r="DJ121" i="6"/>
  <c r="GM43" i="1"/>
  <c r="CP35" i="1"/>
  <c r="O35" i="1" s="1"/>
  <c r="DT63" i="1" s="1"/>
  <c r="GM46" i="1"/>
  <c r="AU92" i="1"/>
  <c r="DT121" i="6"/>
  <c r="I131" i="6" s="1"/>
  <c r="F137" i="6"/>
  <c r="J137" i="6" s="1"/>
  <c r="AG132" i="6" s="1"/>
  <c r="AP22" i="1"/>
  <c r="F136" i="6"/>
  <c r="J136" i="6" s="1"/>
  <c r="AF132" i="6" s="1"/>
  <c r="DI121" i="6"/>
  <c r="DS121" i="6"/>
  <c r="I130" i="6" s="1"/>
  <c r="GN58" i="1"/>
  <c r="F86" i="1"/>
  <c r="CX121" i="6"/>
  <c r="EP63" i="1"/>
  <c r="EP22" i="1" s="1"/>
  <c r="GM57" i="1"/>
  <c r="P73" i="1"/>
  <c r="F72" i="1"/>
  <c r="G16" i="2" s="1"/>
  <c r="G18" i="2" s="1"/>
  <c r="AQ22" i="1"/>
  <c r="GN48" i="1"/>
  <c r="F82" i="1"/>
  <c r="AP92" i="1"/>
  <c r="AP18" i="1" s="1"/>
  <c r="CP49" i="1"/>
  <c r="O49" i="1" s="1"/>
  <c r="CI22" i="1"/>
  <c r="V22" i="1"/>
  <c r="GN43" i="1"/>
  <c r="AQ92" i="1"/>
  <c r="AQ18" i="1" s="1"/>
  <c r="GN36" i="1"/>
  <c r="GN37" i="1"/>
  <c r="GM36" i="1"/>
  <c r="AK63" i="1"/>
  <c r="X63" i="1" s="1"/>
  <c r="DN121" i="6" s="1"/>
  <c r="I124" i="6" s="1"/>
  <c r="V92" i="1"/>
  <c r="V18" i="1" s="1"/>
  <c r="AX63" i="1"/>
  <c r="AU22" i="1"/>
  <c r="EL92" i="1"/>
  <c r="EL18" i="1" s="1"/>
  <c r="EH92" i="1"/>
  <c r="P101" i="1" s="1"/>
  <c r="ER63" i="1"/>
  <c r="ER92" i="1" s="1"/>
  <c r="P72" i="1"/>
  <c r="V16" i="2" s="1"/>
  <c r="V18" i="2" s="1"/>
  <c r="AT92" i="1"/>
  <c r="F110" i="1" s="1"/>
  <c r="AT22" i="1"/>
  <c r="GN61" i="1"/>
  <c r="GM61" i="1"/>
  <c r="T22" i="1"/>
  <c r="F84" i="1"/>
  <c r="T92" i="1"/>
  <c r="DN22" i="1"/>
  <c r="DN92" i="1"/>
  <c r="P86" i="1"/>
  <c r="EG18" i="1"/>
  <c r="P96" i="1"/>
  <c r="GM37" i="1"/>
  <c r="GM38" i="1"/>
  <c r="DU63" i="1"/>
  <c r="DY63" i="1"/>
  <c r="DZ22" i="1"/>
  <c r="DM63" i="1"/>
  <c r="W22" i="1"/>
  <c r="F87" i="1"/>
  <c r="W92" i="1"/>
  <c r="EP92" i="1"/>
  <c r="CZ49" i="1"/>
  <c r="Y49" i="1" s="1"/>
  <c r="CY49" i="1"/>
  <c r="X49" i="1" s="1"/>
  <c r="EC63" i="1" s="1"/>
  <c r="AZ22" i="1"/>
  <c r="F74" i="1"/>
  <c r="AZ92" i="1"/>
  <c r="GB63" i="1"/>
  <c r="GM25" i="1"/>
  <c r="GN25" i="1"/>
  <c r="DV63" i="1"/>
  <c r="BA18" i="1"/>
  <c r="F112" i="1"/>
  <c r="H16" i="2"/>
  <c r="H18" i="2" s="1"/>
  <c r="GM42" i="1"/>
  <c r="GN57" i="1"/>
  <c r="EM18" i="1"/>
  <c r="P111" i="1"/>
  <c r="EB22" i="1"/>
  <c r="DO63" i="1"/>
  <c r="GN35" i="1"/>
  <c r="GM35" i="1"/>
  <c r="AE22" i="1"/>
  <c r="R63" i="1"/>
  <c r="DX22" i="1"/>
  <c r="DK63" i="1"/>
  <c r="AL63" i="1"/>
  <c r="AO18" i="1"/>
  <c r="F96" i="1"/>
  <c r="EU18" i="1"/>
  <c r="P108" i="1"/>
  <c r="U22" i="1"/>
  <c r="F85" i="1"/>
  <c r="U92" i="1"/>
  <c r="AD22" i="1"/>
  <c r="Q63" i="1"/>
  <c r="DA121" i="6" s="1"/>
  <c r="L121" i="6" s="1"/>
  <c r="AC22" i="1"/>
  <c r="CH63" i="1"/>
  <c r="CE63" i="1"/>
  <c r="P63" i="1"/>
  <c r="DC121" i="6" s="1"/>
  <c r="CF63" i="1"/>
  <c r="GN60" i="1"/>
  <c r="AF22" i="1"/>
  <c r="S63" i="1"/>
  <c r="EI18" i="1"/>
  <c r="P102" i="1"/>
  <c r="DW22" i="1"/>
  <c r="DJ63" i="1"/>
  <c r="BC18" i="1"/>
  <c r="F108" i="1"/>
  <c r="AU18" i="1"/>
  <c r="F111" i="1"/>
  <c r="GM24" i="1"/>
  <c r="GN24" i="1"/>
  <c r="CB63" i="1" s="1"/>
  <c r="AB63" i="1"/>
  <c r="GM49" i="1" l="1"/>
  <c r="AX22" i="1"/>
  <c r="DG121" i="6"/>
  <c r="AJ132" i="6"/>
  <c r="CZ121" i="6"/>
  <c r="DB121" i="6"/>
  <c r="M121" i="6" s="1"/>
  <c r="BL132" i="6"/>
  <c r="G48" i="8"/>
  <c r="G49" i="8" s="1"/>
  <c r="G2" i="1" s="1"/>
  <c r="P70" i="1"/>
  <c r="F101" i="1"/>
  <c r="F102" i="1"/>
  <c r="CA63" i="1"/>
  <c r="CA22" i="1" s="1"/>
  <c r="AX92" i="1"/>
  <c r="F99" i="1" s="1"/>
  <c r="ER22" i="1"/>
  <c r="F70" i="1"/>
  <c r="F115" i="1"/>
  <c r="AK22" i="1"/>
  <c r="P74" i="1"/>
  <c r="P110" i="1"/>
  <c r="EH18" i="1"/>
  <c r="AT18" i="1"/>
  <c r="W18" i="1"/>
  <c r="F116" i="1"/>
  <c r="DJ22" i="1"/>
  <c r="DJ92" i="1"/>
  <c r="P77" i="1"/>
  <c r="S22" i="1"/>
  <c r="F78" i="1"/>
  <c r="J16" i="2" s="1"/>
  <c r="J18" i="2" s="1"/>
  <c r="S92" i="1"/>
  <c r="P22" i="1"/>
  <c r="F66" i="1"/>
  <c r="P92" i="1"/>
  <c r="Q22" i="1"/>
  <c r="F75" i="1"/>
  <c r="Q92" i="1"/>
  <c r="DK22" i="1"/>
  <c r="DK92" i="1"/>
  <c r="P78" i="1"/>
  <c r="Y16" i="2" s="1"/>
  <c r="Y18" i="2" s="1"/>
  <c r="ER18" i="1"/>
  <c r="P103" i="1"/>
  <c r="DO22" i="1"/>
  <c r="DO92" i="1"/>
  <c r="P87" i="1"/>
  <c r="ED63" i="1"/>
  <c r="AB22" i="1"/>
  <c r="O63" i="1"/>
  <c r="CY121" i="6" s="1"/>
  <c r="I121" i="6" s="1"/>
  <c r="CE22" i="1"/>
  <c r="AV63" i="1"/>
  <c r="DE121" i="6" s="1"/>
  <c r="DV22" i="1"/>
  <c r="DI63" i="1"/>
  <c r="GB22" i="1"/>
  <c r="ES63" i="1"/>
  <c r="DN18" i="1"/>
  <c r="P115" i="1"/>
  <c r="GN49" i="1"/>
  <c r="FT63" i="1" s="1"/>
  <c r="CB22" i="1"/>
  <c r="AS63" i="1"/>
  <c r="CH22" i="1"/>
  <c r="AY63" i="1"/>
  <c r="DH121" i="6" s="1"/>
  <c r="U18" i="1"/>
  <c r="F114" i="1"/>
  <c r="R22" i="1"/>
  <c r="F77" i="1"/>
  <c r="R92" i="1"/>
  <c r="DT22" i="1"/>
  <c r="DG63" i="1"/>
  <c r="AZ18" i="1"/>
  <c r="F103" i="1"/>
  <c r="EC22" i="1"/>
  <c r="DP63" i="1"/>
  <c r="DM22" i="1"/>
  <c r="P85" i="1"/>
  <c r="DM92" i="1"/>
  <c r="DY22" i="1"/>
  <c r="DL63" i="1"/>
  <c r="X22" i="1"/>
  <c r="X92" i="1"/>
  <c r="F88" i="1"/>
  <c r="CF22" i="1"/>
  <c r="AW63" i="1"/>
  <c r="DF121" i="6" s="1"/>
  <c r="DU22" i="1"/>
  <c r="FW63" i="1"/>
  <c r="DH63" i="1"/>
  <c r="FZ63" i="1"/>
  <c r="FX63" i="1"/>
  <c r="T18" i="1"/>
  <c r="F113" i="1"/>
  <c r="AL22" i="1"/>
  <c r="Y63" i="1"/>
  <c r="DO121" i="6" s="1"/>
  <c r="I125" i="6" s="1"/>
  <c r="FS63" i="1"/>
  <c r="EP18" i="1"/>
  <c r="P99" i="1"/>
  <c r="L41" i="6" l="1"/>
  <c r="K121" i="6"/>
  <c r="DU121" i="6"/>
  <c r="DQ121" i="6"/>
  <c r="I128" i="6" s="1"/>
  <c r="F134" i="6"/>
  <c r="AX18" i="1"/>
  <c r="AR63" i="1"/>
  <c r="FX22" i="1"/>
  <c r="EO63" i="1"/>
  <c r="FT22" i="1"/>
  <c r="EK63" i="1"/>
  <c r="O22" i="1"/>
  <c r="F65" i="1"/>
  <c r="O92" i="1"/>
  <c r="FZ22" i="1"/>
  <c r="EQ63" i="1"/>
  <c r="AW22" i="1"/>
  <c r="F69" i="1"/>
  <c r="AW92" i="1"/>
  <c r="DP22" i="1"/>
  <c r="DP92" i="1"/>
  <c r="P88" i="1"/>
  <c r="DG22" i="1"/>
  <c r="P65" i="1"/>
  <c r="DG92" i="1"/>
  <c r="DK18" i="1"/>
  <c r="P107" i="1"/>
  <c r="S18" i="1"/>
  <c r="F107" i="1"/>
  <c r="DJ18" i="1"/>
  <c r="P106" i="1"/>
  <c r="DH22" i="1"/>
  <c r="DH92" i="1"/>
  <c r="P66" i="1"/>
  <c r="X18" i="1"/>
  <c r="F117" i="1"/>
  <c r="DM18" i="1"/>
  <c r="P114" i="1"/>
  <c r="AS22" i="1"/>
  <c r="AS92" i="1"/>
  <c r="F80" i="1"/>
  <c r="E16" i="2" s="1"/>
  <c r="DI22" i="1"/>
  <c r="P75" i="1"/>
  <c r="DI92" i="1"/>
  <c r="AV22" i="1"/>
  <c r="F68" i="1"/>
  <c r="AV92" i="1"/>
  <c r="ED22" i="1"/>
  <c r="DQ63" i="1"/>
  <c r="P18" i="1"/>
  <c r="F95" i="1"/>
  <c r="FS22" i="1"/>
  <c r="EJ63" i="1"/>
  <c r="FW22" i="1"/>
  <c r="EN63" i="1"/>
  <c r="R18" i="1"/>
  <c r="F106" i="1"/>
  <c r="Q18" i="1"/>
  <c r="F104" i="1"/>
  <c r="Y22" i="1"/>
  <c r="F89" i="1"/>
  <c r="Y92" i="1"/>
  <c r="DL22" i="1"/>
  <c r="DL92" i="1"/>
  <c r="P84" i="1"/>
  <c r="AY22" i="1"/>
  <c r="F71" i="1"/>
  <c r="AY92" i="1"/>
  <c r="ES22" i="1"/>
  <c r="P83" i="1"/>
  <c r="W16" i="2" s="1"/>
  <c r="W18" i="2" s="1"/>
  <c r="ES92" i="1"/>
  <c r="DO18" i="1"/>
  <c r="P116" i="1"/>
  <c r="F138" i="6" l="1"/>
  <c r="J134" i="6"/>
  <c r="F139" i="6"/>
  <c r="F141" i="6" s="1"/>
  <c r="AR22" i="1"/>
  <c r="DP121" i="6"/>
  <c r="I126" i="6" s="1"/>
  <c r="L39" i="6" s="1"/>
  <c r="AR92" i="1"/>
  <c r="F119" i="1" s="1"/>
  <c r="F90" i="1"/>
  <c r="EN22" i="1"/>
  <c r="P68" i="1"/>
  <c r="EN92" i="1"/>
  <c r="AV18" i="1"/>
  <c r="F97" i="1"/>
  <c r="AW18" i="1"/>
  <c r="F98" i="1"/>
  <c r="EK22" i="1"/>
  <c r="P80" i="1"/>
  <c r="T16" i="2" s="1"/>
  <c r="EK92" i="1"/>
  <c r="Y18" i="1"/>
  <c r="F118" i="1"/>
  <c r="O18" i="1"/>
  <c r="F94" i="1"/>
  <c r="AR18" i="1"/>
  <c r="EJ22" i="1"/>
  <c r="P90" i="1"/>
  <c r="EJ92" i="1"/>
  <c r="DQ22" i="1"/>
  <c r="DQ92" i="1"/>
  <c r="P89" i="1"/>
  <c r="E18" i="2"/>
  <c r="I16" i="2"/>
  <c r="I18" i="2" s="1"/>
  <c r="DH18" i="1"/>
  <c r="P95" i="1"/>
  <c r="DG18" i="1"/>
  <c r="P94" i="1"/>
  <c r="DP18" i="1"/>
  <c r="P117" i="1"/>
  <c r="EO22" i="1"/>
  <c r="P69" i="1"/>
  <c r="EO92" i="1"/>
  <c r="AY18" i="1"/>
  <c r="F100" i="1"/>
  <c r="DL18" i="1"/>
  <c r="P113" i="1"/>
  <c r="DI18" i="1"/>
  <c r="P104" i="1"/>
  <c r="AS18" i="1"/>
  <c r="F109" i="1"/>
  <c r="EQ22" i="1"/>
  <c r="EQ92" i="1"/>
  <c r="P71" i="1"/>
  <c r="ES18" i="1"/>
  <c r="P112" i="1"/>
  <c r="J138" i="6" l="1"/>
  <c r="AH132" i="6" s="1"/>
  <c r="AD132" i="6"/>
  <c r="J139" i="6"/>
  <c r="EQ18" i="1"/>
  <c r="P100" i="1"/>
  <c r="EJ18" i="1"/>
  <c r="P119" i="1"/>
  <c r="EN18" i="1"/>
  <c r="P97" i="1"/>
  <c r="EK18" i="1"/>
  <c r="P109" i="1"/>
  <c r="EO18" i="1"/>
  <c r="P98" i="1"/>
  <c r="DQ18" i="1"/>
  <c r="P118" i="1"/>
  <c r="X16" i="2"/>
  <c r="X18" i="2" s="1"/>
  <c r="T18" i="2"/>
  <c r="J141" i="6" l="1"/>
  <c r="AI132" i="6"/>
  <c r="J142" i="6" l="1"/>
  <c r="BG132" i="6"/>
  <c r="J143" i="6" l="1"/>
  <c r="BH132" i="6"/>
  <c r="BI132" i="6" l="1"/>
  <c r="E26" i="6"/>
</calcChain>
</file>

<file path=xl/comments1.xml><?xml version="1.0" encoding="utf-8"?>
<comments xmlns="http://schemas.openxmlformats.org/spreadsheetml/2006/main">
  <authors>
    <author>Sazonova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B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Полное наименование</t>
        </r>
      </text>
    </comment>
  </commentList>
</comments>
</file>

<file path=xl/comments2.xml><?xml version="1.0" encoding="utf-8"?>
<comments xmlns="http://schemas.openxmlformats.org/spreadsheetml/2006/main">
  <authors>
    <author>Sazonova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L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L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L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L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Полное наименование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L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L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L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I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J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Полное наименование</t>
        </r>
      </text>
    </comment>
    <comment ref="C3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J141" authorId="0">
      <text>
        <r>
          <rPr>
            <sz val="9"/>
            <color indexed="81"/>
            <rFont val="Tahoma"/>
            <family val="2"/>
            <charset val="204"/>
          </rPr>
          <t>Всего : СМР + Оборудование + Прочие</t>
        </r>
      </text>
    </comment>
    <comment ref="C14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14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15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15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sharedStrings.xml><?xml version="1.0" encoding="utf-8"?>
<sst xmlns="http://schemas.openxmlformats.org/spreadsheetml/2006/main" count="3887" uniqueCount="490">
  <si>
    <t>Smeta.RU  (495) 974-1589</t>
  </si>
  <si>
    <t>_PS_</t>
  </si>
  <si>
    <t>Smeta.RU</t>
  </si>
  <si>
    <t>АО "Орелоблэнерго"  Доп. раб. место  FStS-0035951</t>
  </si>
  <si>
    <t>Новый объект</t>
  </si>
  <si>
    <t/>
  </si>
  <si>
    <t>Сметные нормы списания</t>
  </si>
  <si>
    <t>Коды ценников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</si>
  <si>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</si>
  <si>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</si>
  <si>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</si>
  <si>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</si>
  <si>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</si>
  <si>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08-07-001-02</t>
  </si>
  <si>
    <t>Установка и разборка наружных инвентарных лесов высотой до 16 м трубчатых для прочих отделочных работ</t>
  </si>
  <si>
    <t>100 м2</t>
  </si>
  <si>
    <t>ФЕР-2001, 08-07-001-02, приказ Минстроя России №1039/пр от 30.12.2016г.</t>
  </si>
  <si>
    <t>Общестроительные и специальные строительные работы</t>
  </si>
  <si>
    <t>Конструкции из кирпича и блоков</t>
  </si>
  <si>
    <t>ФЕР-08</t>
  </si>
  <si>
    <t>2</t>
  </si>
  <si>
    <t>61-13-1</t>
  </si>
  <si>
    <t>Ремонт штукатурки рустованных фасадов по камню и бетону с земли и лесов цементно-известковым раствором площадью отдельных мест до 5 м2 толщиной слоя до 40 мм</t>
  </si>
  <si>
    <t>ФЕРр-2001, 61-13-1, приказ Минстроя России №1039/пр от 30.12.2016г.</t>
  </si>
  <si>
    <t>Ремонтно-строительные работы</t>
  </si>
  <si>
    <t>Штукатрурные работы</t>
  </si>
  <si>
    <t>ФЕРр-61</t>
  </si>
  <si>
    <t>3</t>
  </si>
  <si>
    <t>61-13-2</t>
  </si>
  <si>
    <t>Ремонт штукатурки рустованных фасадов по камню и бетону с земли и лесов на каждые следующие 10 мм толщины слоя добавлять к расценке 61-13-1</t>
  </si>
  <si>
    <t>ФЕРр-2001, 61-13-2, приказ Минстроя России №1039/пр от 30.12.2016г.</t>
  </si>
  <si>
    <t>4</t>
  </si>
  <si>
    <t>61-20-1</t>
  </si>
  <si>
    <t>Ремонт штукатурки наружных прямолинейных откосов по камню и бетону цементно-известковым раствором с земли и лесов</t>
  </si>
  <si>
    <t>ФЕРр-2001, 61-20-1, приказ Минстроя России №1039/пр от 30.12.2016г.</t>
  </si>
  <si>
    <t>5</t>
  </si>
  <si>
    <t>62-27-1</t>
  </si>
  <si>
    <t>Сплошная шпаклевка ранее оштукатуренных поверхностей цементно-поливинилацетатным составом с лесов и земли</t>
  </si>
  <si>
    <t>ФЕРр-2001, 62-27-1, приказ Минстроя России №1039/пр от 30.12.2016г.</t>
  </si>
  <si>
    <t>Малярные работы</t>
  </si>
  <si>
    <t>ФЕРр-62</t>
  </si>
  <si>
    <t>5,1</t>
  </si>
  <si>
    <t>прайс-лист</t>
  </si>
  <si>
    <t>Цемент</t>
  </si>
  <si>
    <t>т</t>
  </si>
  <si>
    <t>Материалы ( строительные )</t>
  </si>
  <si>
    <t>Строка добавленная вручную</t>
  </si>
  <si>
    <t>По умолчанию</t>
  </si>
  <si>
    <t>[108 333,3 /  6,78]</t>
  </si>
  <si>
    <t>6</t>
  </si>
  <si>
    <t>58-3-1</t>
  </si>
  <si>
    <t>Разборка мелких покрытий и обделок из листовой стали поясков, сандриков, желобов, отливов, свесов и т.п.</t>
  </si>
  <si>
    <t>100 м</t>
  </si>
  <si>
    <t>ФЕРр-2001, 58-3-1, приказ Минстроя России №1039/пр от 30.12.2016г.</t>
  </si>
  <si>
    <t>Крыши, кровля</t>
  </si>
  <si>
    <t>ФЕРр-58</t>
  </si>
  <si>
    <t>7</t>
  </si>
  <si>
    <t>12-01-010-01</t>
  </si>
  <si>
    <t>Устройство мелких покрытий (брандмауэры, парапеты, свесы и т.п.) из листовой оцинкованной стали</t>
  </si>
  <si>
    <t>ФЕР-2001, 12-01-010-01, приказ Минстроя России №1039/пр от 30.12.2016г.</t>
  </si>
  <si>
    <t>Кровли</t>
  </si>
  <si>
    <t>ФЕР-12</t>
  </si>
  <si>
    <t>8</t>
  </si>
  <si>
    <t>12-01-008-02</t>
  </si>
  <si>
    <t>Устройство обделок на фасадах (наружные подоконники, пояски, балконы и др.) без водосточных труб</t>
  </si>
  <si>
    <t>ФЕР-2001, 12-01-008-02, приказ Минстроя России №1039/пр от 30.12.2016г.</t>
  </si>
  <si>
    <t>9</t>
  </si>
  <si>
    <t>58-20-5</t>
  </si>
  <si>
    <t>Смена обделок из листовой стали, примыканий к каменным стенам</t>
  </si>
  <si>
    <t>ФЕРр-2001, 58-20-5, приказ Минстроя России №1039/пр от 30.12.2016г.</t>
  </si>
  <si>
    <t>10</t>
  </si>
  <si>
    <t>53-14-1</t>
  </si>
  <si>
    <t>Заделка трещин в кирпичных стенах цементным раствором</t>
  </si>
  <si>
    <t>10 м</t>
  </si>
  <si>
    <t>ФЕРр-2001, 53-14-1, приказ Минстроя России №1039/пр от 30.12.2016г.</t>
  </si>
  <si>
    <t>Стены</t>
  </si>
  <si>
    <t>ФЕРр-53</t>
  </si>
  <si>
    <t>11</t>
  </si>
  <si>
    <t>15-01-050-04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</si>
  <si>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</si>
  <si>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ФЕР-2001, 15-01-050-04, приказ Минстроя России №1039/пр от 30.12.2016г.</t>
  </si>
  <si>
    <t>Отделочные работы</t>
  </si>
  <si>
    <t>ФЕР-15</t>
  </si>
  <si>
    <t>11,1</t>
  </si>
  <si>
    <t>Откос оконный утепл. 1500х250х10мм</t>
  </si>
  <si>
    <t>м2</t>
  </si>
  <si>
    <t>[197,92 /  6,78]</t>
  </si>
  <si>
    <t>11,2</t>
  </si>
  <si>
    <t>Отлив 1500х200</t>
  </si>
  <si>
    <t>м</t>
  </si>
  <si>
    <t>[289 /  6,78]</t>
  </si>
  <si>
    <t>11,3</t>
  </si>
  <si>
    <t>Грунтовка</t>
  </si>
  <si>
    <t>[62 500 /  6,78]</t>
  </si>
  <si>
    <t>12</t>
  </si>
  <si>
    <t>15-01-090-02</t>
  </si>
  <si>
    <t>Устройство вентилируемых фасадов с облицовкой металлокасетами без теплоизоляционного слоя (прим.)</t>
  </si>
  <si>
    <t>ФЕР-2001, 15-01-090-02, приказ Минстроя России №1039/пр от 30.12.2016г.</t>
  </si>
  <si>
    <t>12,1</t>
  </si>
  <si>
    <t>Фасадная кассета 535*535</t>
  </si>
  <si>
    <t>[625 /  6,78]</t>
  </si>
  <si>
    <t>12,2</t>
  </si>
  <si>
    <t>Материал гидроветрозащитный</t>
  </si>
  <si>
    <t>[96,5 /  6,78]</t>
  </si>
  <si>
    <t>12,3</t>
  </si>
  <si>
    <t>Вентилируемая система крепления</t>
  </si>
  <si>
    <t>[218 /  6,78]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</si>
  <si>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</si>
  <si>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</si>
  <si>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</si>
  <si>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</si>
  <si>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</si>
  <si>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</si>
  <si>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</si>
  <si>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</si>
  <si>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</si>
  <si>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</si>
  <si>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</si>
  <si>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</si>
  <si>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</si>
  <si>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</si>
  <si>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</si>
  <si>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</si>
  <si>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</si>
  <si>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</si>
  <si>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</si>
  <si>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</si>
  <si>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</si>
  <si>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</si>
  <si>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</si>
  <si>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</si>
  <si>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</si>
  <si>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</si>
  <si>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</si>
  <si>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</si>
  <si>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</si>
  <si>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</si>
  <si>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</si>
  <si>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</si>
  <si>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</si>
  <si>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</si>
  <si>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</si>
  <si>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</si>
  <si>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</si>
  <si>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</si>
  <si>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</si>
  <si>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</si>
  <si>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</si>
  <si>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</si>
  <si>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</si>
  <si>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</si>
  <si>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</si>
  <si>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</si>
  <si>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</si>
  <si>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</si>
  <si>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</si>
  <si>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</si>
  <si>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</si>
  <si>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</si>
  <si>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</si>
  <si>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</si>
  <si>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</si>
  <si>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</si>
  <si>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</si>
  <si>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</si>
  <si>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</si>
  <si>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</si>
  <si>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</si>
  <si>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</si>
  <si>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</si>
  <si>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</si>
  <si>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</si>
  <si>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</si>
  <si>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</si>
  <si>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</si>
  <si>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</si>
  <si>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</si>
  <si>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</si>
  <si>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</si>
  <si>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</si>
  <si>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</si>
  <si>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</si>
  <si>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</si>
  <si>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</si>
  <si>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</si>
  <si>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</si>
  <si>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</si>
  <si>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</si>
  <si>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</si>
  <si>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</si>
  <si>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</si>
  <si>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</si>
  <si>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</si>
  <si>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</si>
  <si>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</si>
  <si>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</si>
  <si>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</si>
  <si>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</si>
  <si>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</si>
  <si>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</si>
  <si>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</si>
  <si>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</si>
  <si>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</si>
  <si>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</si>
  <si>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</si>
  <si>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</si>
  <si>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</si>
  <si>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</si>
  <si>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</si>
  <si>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</si>
  <si>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</si>
  <si>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</si>
  <si>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</si>
  <si>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</si>
  <si>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</si>
  <si>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</si>
  <si>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</si>
  <si>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</si>
  <si>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</si>
  <si>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2019 г.</t>
  </si>
  <si>
    <t>Индексы за итогом</t>
  </si>
  <si>
    <t>_OBSM_</t>
  </si>
  <si>
    <t>1-100-31</t>
  </si>
  <si>
    <t>Рабочий среднего разряда 3.1</t>
  </si>
  <si>
    <t>чел.-ч.</t>
  </si>
  <si>
    <t>4-100-00</t>
  </si>
  <si>
    <t>Затраты труда машинистов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</si>
  <si>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</si>
  <si>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</si>
  <si>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</si>
  <si>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маш.-ч</t>
  </si>
  <si>
    <t>11.2.13.06-0011</t>
  </si>
  <si>
    <t>ФССЦ-2001, 11.2.13.06-0011, приказ Минстроя России №1039/пр от 30.12.2016г.</t>
  </si>
  <si>
    <t>Щиты: настила</t>
  </si>
  <si>
    <t>1-100-35</t>
  </si>
  <si>
    <t>Рабочий среднего разряда 3.5</t>
  </si>
  <si>
    <t>91.06.03-060</t>
  </si>
  <si>
    <t>ФСЭМ-2001, 91.06.03-060, приказ Минстроя России №1039/пр от 30.12.2016г.</t>
  </si>
  <si>
    <t>Лебедки электрические тяговым усилием до 5,79 кН (0,59 т)</t>
  </si>
  <si>
    <t>01.7.03.01-0001</t>
  </si>
  <si>
    <t>ФССЦ-2001, 01.7.03.01-0001, приказ Минстроя России №1039/пр от 30.12.2016г.</t>
  </si>
  <si>
    <t>Вода</t>
  </si>
  <si>
    <t>м3</t>
  </si>
  <si>
    <t>04.3.01.12-0111</t>
  </si>
  <si>
    <t>ФССЦ-2001, 04.3.01.12-0111, приказ Минстроя России №1039/пр от 30.12.2016г.</t>
  </si>
  <si>
    <t>Раствор готовый отделочный тяжелый, цементно-известковый 1:1:6</t>
  </si>
  <si>
    <t>1-100-37</t>
  </si>
  <si>
    <t>Рабочий среднего разряда 3.7</t>
  </si>
  <si>
    <t>1-100-30</t>
  </si>
  <si>
    <t>Рабочий среднего разряда 3</t>
  </si>
  <si>
    <t>01.1.02.10-0002</t>
  </si>
  <si>
    <t>ФССЦ-2001, 01.1.02.10-0002, приказ Минстроя России №1039/пр от 30.12.2016г.</t>
  </si>
  <si>
    <t>Асбест хризотиловый</t>
  </si>
  <si>
    <t>01.7.07.04-0003</t>
  </si>
  <si>
    <t>ФССЦ-2001, 01.7.07.04-0003, приказ Минстроя России №1039/пр от 30.12.2016г.</t>
  </si>
  <si>
    <t>Дисперсия поливинилацетатная гомополимерная грубодисперсная непластифицированная (эмульсия поливинилацетатная)</t>
  </si>
  <si>
    <t>01.7.08.04-0003</t>
  </si>
  <si>
    <t>ФССЦ-2001, 01.7.08.04-0003, приказ Минстроя России №1039/пр от 30.12.2016г.</t>
  </si>
  <si>
    <t>Мел природный молотый</t>
  </si>
  <si>
    <t>02.4.03.02-0001</t>
  </si>
  <si>
    <t>ФССЦ-2001, 02.4.03.02-0001, приказ Минстроя России №1039/пр от 30.12.2016г.</t>
  </si>
  <si>
    <t>Пемза шлаковая (щебень пористый из металлургического шлака), марка 600, фракция 5-10 мм</t>
  </si>
  <si>
    <t>14.1.03.02-0201</t>
  </si>
  <si>
    <t>ФССЦ-2001, 14.1.03.02-0201, приказ Минстроя России №1039/пр от 30.12.2016г.</t>
  </si>
  <si>
    <t>Клей малярный жидкий</t>
  </si>
  <si>
    <t>кг</t>
  </si>
  <si>
    <t>1-100-20</t>
  </si>
  <si>
    <t>Рабочий среднего разряда 2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</si>
  <si>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</si>
  <si>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</si>
  <si>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</si>
  <si>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01.7.15.06-0146</t>
  </si>
  <si>
    <t>ФССЦ-2001, 01.7.15.06-0146, приказ Минстроя России №1039/пр от 30.12.2016г.</t>
  </si>
  <si>
    <t>Гвозди толевые круглые 3,0х40 мм</t>
  </si>
  <si>
    <t>08.3.03.05-0002</t>
  </si>
  <si>
    <t>ФССЦ-2001, 08.3.03.05-0002, приказ Минстроя России №1039/пр от 30.12.2016г.</t>
  </si>
  <si>
    <t>Проволока канатная оцинкованная, диаметром 3 мм</t>
  </si>
  <si>
    <t>08.3.05.05-0053</t>
  </si>
  <si>
    <t>ФССЦ-2001, 08.3.05.05-0053, приказ Минстроя России №1039/пр от 30.12.2016г.</t>
  </si>
  <si>
    <t>Сталь листовая оцинкованная толщиной листа 0,7 мм</t>
  </si>
  <si>
    <t>91.06.06-048</t>
  </si>
  <si>
    <t>ФСЭМ-2001, 91.06.06-048, приказ Минстроя России №1039/пр от 30.12.2016г.</t>
  </si>
  <si>
    <t>Подъемники одномачтовые, грузоподъемность до 500 кг, высота подъема 45 м</t>
  </si>
  <si>
    <t>01.7.15.06-0111</t>
  </si>
  <si>
    <t>ФССЦ-2001, 01.7.15.06-0111, приказ Минстроя России №1039/пр от 30.12.2016г.</t>
  </si>
  <si>
    <t>Гвозди строительные</t>
  </si>
  <si>
    <t>1-100-34</t>
  </si>
  <si>
    <t>Рабочий среднего разряда 3.4</t>
  </si>
  <si>
    <t>1-100-36</t>
  </si>
  <si>
    <t>Рабочий среднего разряда 3.6</t>
  </si>
  <si>
    <t>01.7.20.08-0051</t>
  </si>
  <si>
    <t>ФССЦ-2001, 01.7.20.08-0051, приказ Минстроя России №1039/пр от 30.12.2016г.</t>
  </si>
  <si>
    <t>Ветошь</t>
  </si>
  <si>
    <t>1-100-40</t>
  </si>
  <si>
    <t>Рабочий среднего разряда 4</t>
  </si>
  <si>
    <t>91.06.06-047</t>
  </si>
  <si>
    <t>ФСЭМ-2001, 91.06.06-047, приказ Минстроя России №1039/пр от 30.12.2016г.</t>
  </si>
  <si>
    <t>Подъемники одномачтовые, грузоподъемность до 500 кг, высота подъема 35 м</t>
  </si>
  <si>
    <t>01.7.16.02</t>
  </si>
  <si>
    <t>Детали деревянные лесов</t>
  </si>
  <si>
    <t>Детали стальных трубчатых лесов</t>
  </si>
  <si>
    <t>01.7.07.07</t>
  </si>
  <si>
    <t>Строительный мусор</t>
  </si>
  <si>
    <t>03.2.02.11</t>
  </si>
  <si>
    <t>08.3.05.05</t>
  </si>
  <si>
    <t>Сталь листовая оцинкованная</t>
  </si>
  <si>
    <t>04.3.01.09</t>
  </si>
  <si>
    <t>Раствор цементный</t>
  </si>
  <si>
    <t>01.6.01.11</t>
  </si>
  <si>
    <t>Листы облицовочные декоративные</t>
  </si>
  <si>
    <t>14.1.06.05</t>
  </si>
  <si>
    <t>Клей</t>
  </si>
  <si>
    <t>14.4.01.21</t>
  </si>
  <si>
    <t>Панели облицовочные</t>
  </si>
  <si>
    <t>01.7.06.14-0027</t>
  </si>
  <si>
    <t>ФССЦ-2001, 01.7.06.14-0027, приказ Минстроя России №1039/пр от 30.12.2016г.</t>
  </si>
  <si>
    <t>Лента двухсторонняя</t>
  </si>
  <si>
    <t>01.7.15.07-0148</t>
  </si>
  <si>
    <t>ФССЦ-2001, 01.7.15.07-0148, приказ Минстроя России №1039/пр от 30.12.2016г.</t>
  </si>
  <si>
    <t>Дюбель распорный, марка IZM, размер 10х200 мм</t>
  </si>
  <si>
    <t>100 шт.</t>
  </si>
  <si>
    <t>07.2.06.06</t>
  </si>
  <si>
    <t>Конструкции металлические и элементы крепежные вентилируемых фасадов</t>
  </si>
  <si>
    <t>компл.</t>
  </si>
  <si>
    <t>12.1.01.03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</si>
  <si>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</si>
  <si>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</si>
  <si>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</si>
  <si>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</si>
  <si>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</si>
  <si>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261,34/100 = 2,6134</t>
  </si>
  <si>
    <t>70,61/100 = 0,7061</t>
  </si>
  <si>
    <t>47,07/100 = 0,4707</t>
  </si>
  <si>
    <t>51,95/100 = 0,5195</t>
  </si>
  <si>
    <t>470,73/100 = 4,7073</t>
  </si>
  <si>
    <t>28,3/100 = 0,283</t>
  </si>
  <si>
    <t>3,15/100 = 0,0315</t>
  </si>
  <si>
    <t>25,15/100 = 0,2515</t>
  </si>
  <si>
    <t>69/100 = 0,69</t>
  </si>
  <si>
    <t>56,5/10 = 5,65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</si>
  <si>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</si>
  <si>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</si>
  <si>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</si>
  <si>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</si>
  <si>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</si>
  <si>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</si>
  <si>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</si>
  <si>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</si>
  <si>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</si>
  <si>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</si>
  <si>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</si>
  <si>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</si>
  <si>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</si>
  <si>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</si>
  <si>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</si>
  <si>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</si>
  <si>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</si>
  <si>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</si>
  <si>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</si>
  <si>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</si>
  <si>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</si>
  <si>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</si>
  <si>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</si>
  <si>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</si>
  <si>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</si>
  <si>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</si>
  <si>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</si>
  <si>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 xml:space="preserve">Составлен в уровне цен : 01.01.2000 г.  с пересчетом в текущий уровень цен на: 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</si>
  <si>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</si>
  <si>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</si>
  <si>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</si>
  <si>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</si>
  <si>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</si>
  <si>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</si>
  <si>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</si>
  <si>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</si>
  <si>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</si>
  <si>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01.01.2000 г.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</si>
  <si>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</si>
  <si>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</si>
  <si>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</si>
  <si>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</si>
  <si>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</si>
  <si>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</si>
  <si>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</t>
  </si>
  <si>
    <t>норматива</t>
  </si>
  <si>
    <t>Наименование работ и затрат</t>
  </si>
  <si>
    <t>Единица</t>
  </si>
  <si>
    <t>изме-</t>
  </si>
  <si>
    <t>рения</t>
  </si>
  <si>
    <t>Коли-</t>
  </si>
  <si>
    <t>чество</t>
  </si>
  <si>
    <t>Цена за единицу, руб.</t>
  </si>
  <si>
    <t>в том числе:</t>
  </si>
  <si>
    <t>Экспл.</t>
  </si>
  <si>
    <t>машин</t>
  </si>
  <si>
    <t>в т.ч.</t>
  </si>
  <si>
    <t>з/п маш.</t>
  </si>
  <si>
    <t>Cтоимость, руб.</t>
  </si>
  <si>
    <t xml:space="preserve">   Накладные расходы (НР) : </t>
  </si>
  <si>
    <t xml:space="preserve"> % </t>
  </si>
  <si>
    <t xml:space="preserve">   Сметная прибыль    (СП) : </t>
  </si>
  <si>
    <t xml:space="preserve">   Итого с НР и СП : </t>
  </si>
  <si>
    <t xml:space="preserve"> Расчет цены </t>
  </si>
  <si>
    <t xml:space="preserve">   [108 333,3 /  6,78] = 15978.36</t>
  </si>
  <si>
    <t xml:space="preserve">   [197,92 /  6,78] = 29.19</t>
  </si>
  <si>
    <t xml:space="preserve">   [289 /  6,78] = 42.63</t>
  </si>
  <si>
    <t xml:space="preserve">   [62 500 /  6,78] = 9218.29</t>
  </si>
  <si>
    <t xml:space="preserve">   [625 /  6,78] = 92.18</t>
  </si>
  <si>
    <t xml:space="preserve">   [96,5 /  6,78] = 14.23</t>
  </si>
  <si>
    <t xml:space="preserve">   [218 /  6,78] = 32.15</t>
  </si>
  <si>
    <t>Итого по локальной смете: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</si>
  <si>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</si>
  <si>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</si>
  <si>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</si>
  <si>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</si>
  <si>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</si>
  <si>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</si>
  <si>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</si>
  <si>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</si>
  <si>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Наименование</t>
  </si>
  <si>
    <t>Стоимость                    в базовых ценах</t>
  </si>
  <si>
    <t>Коэффициенты</t>
  </si>
  <si>
    <t>Индекс пересчета</t>
  </si>
  <si>
    <t>Стоимость                    в текущих ценах</t>
  </si>
  <si>
    <t xml:space="preserve">Итого: </t>
  </si>
  <si>
    <t>Строительные</t>
  </si>
  <si>
    <t>Монтажные</t>
  </si>
  <si>
    <t>Оборудование</t>
  </si>
  <si>
    <t>Итого</t>
  </si>
  <si>
    <t>В том числе: СМР</t>
  </si>
  <si>
    <t xml:space="preserve">Всего </t>
  </si>
  <si>
    <t>НДС</t>
  </si>
  <si>
    <t>%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</si>
  <si>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</si>
  <si>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</si>
  <si>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</si>
  <si>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</si>
  <si>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</si>
  <si>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</si>
  <si>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</si>
  <si>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инженер по проектно-сметной работе ОПР</t>
  </si>
  <si>
    <t>Тиманькова А.А.</t>
  </si>
  <si>
    <t>Проверил:</t>
  </si>
  <si>
    <t>зам. главного инженера - начальник ОПР</t>
  </si>
  <si>
    <t>Захаров В.В.</t>
  </si>
  <si>
    <t>Конец</t>
  </si>
  <si>
    <t>РАСЧЕТ СТОИМОСТИ МАТЕРИАЛОВ</t>
  </si>
  <si>
    <t>Составлен в уровне цен : I квартал 2019 г.</t>
  </si>
  <si>
    <t>№</t>
  </si>
  <si>
    <t>п/п</t>
  </si>
  <si>
    <t>Обосно-</t>
  </si>
  <si>
    <t>вание</t>
  </si>
  <si>
    <t>материала</t>
  </si>
  <si>
    <t>измере-</t>
  </si>
  <si>
    <t>ния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</si>
  <si>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</si>
  <si>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</si>
  <si>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</si>
  <si>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</si>
  <si>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</si>
  <si>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</si>
  <si>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</si>
  <si>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(учтенные в расценках)</t>
  </si>
  <si>
    <t>Расчет цены : (Цена в Базовом уровне * Индекс) = Цена в Текущем уровне                                         ( 35.22  * 6.78  = 238.79 )</t>
  </si>
  <si>
    <t>Без НДС</t>
  </si>
  <si>
    <t>Расчет цены : (Цена в Базовом уровне * Индекс) = Цена в Текущем уровне                                         ( 2.44  * 6.78  = 16.54 )</t>
  </si>
  <si>
    <t>Расчет цены : (Цена в Базовом уровне * Индекс) = Цена в Текущем уровне                                         ( 517.91  * 6.78  = 3511.43 )</t>
  </si>
  <si>
    <t>Расчет цены : (Цена в Базовом уровне * Индекс) = Цена в Текущем уровне                                         ( 3210.5  * 6.78  = 21767.19 )</t>
  </si>
  <si>
    <t>Расчет цены : (Цена в Базовом уровне * Индекс) = Цена в Текущем уровне                                         ( 16385  * 6.78  = 111090.3 )</t>
  </si>
  <si>
    <t>Расчет цены : (Цена в Базовом уровне * Индекс) = Цена в Текущем уровне                                         ( 586.47  * 6.78  = 3976.27 )</t>
  </si>
  <si>
    <t>Расчет цены : (Цена в Базовом уровне * Индекс) = Цена в Текущем уровне                                         ( 74.58  * 6.78  = 505.65 )</t>
  </si>
  <si>
    <t>Расчет цены : (Цена в Базовом уровне * Индекс) = Цена в Текущем уровне                                         ( 8.09  * 6.78  = 54.85 )</t>
  </si>
  <si>
    <t>Расчет цены : (Цена в Базовом уровне * Индекс) = Цена в Текущем уровне                                         ( 8475  * 6.78  = 57460.5 )</t>
  </si>
  <si>
    <t>Расчет цены : (Цена в Базовом уровне * Индекс) = Цена в Текущем уровне                                         ( 8190  * 6.78  = 55528.2 )</t>
  </si>
  <si>
    <t>Расчет цены : (Цена в Базовом уровне * Индекс) = Цена в Текущем уровне                                         ( 11200  * 6.78  = 75936 )</t>
  </si>
  <si>
    <t>Расчет цены : (Цена в Базовом уровне * Индекс) = Цена в Текущем уровне                                         ( 11978  * 6.78  = 81210.84 )</t>
  </si>
  <si>
    <t>Расчет цены : (Цена в Базовом уровне * Индекс) = Цена в Текущем уровне                                         ( 1.82  * 6.78  = 12.34 )</t>
  </si>
  <si>
    <t>Материалы Подрядчика (неучтенные в расценках)</t>
  </si>
  <si>
    <t>Расчет цены : (Цена в Базовом уровне * Индекс) = Цена в Текущем уровне                                         ( 15978.36  * 6.78  = 108333.28 )</t>
  </si>
  <si>
    <t>Расчет цены : (Цена в Базовом уровне * Индекс) = Цена в Текущем уровне                                         ( 29.19  * 6.78  = 197.91 )</t>
  </si>
  <si>
    <t>Расчет цены : (Цена в Базовом уровне * Индекс) = Цена в Текущем уровне                                         ( 42.63  * 6.78  = 289.03 )</t>
  </si>
  <si>
    <t>Расчет цены : (Цена в Базовом уровне * Индекс) = Цена в Текущем уровне                                         ( 9218.29  * 6.78  = 62500.01 )</t>
  </si>
  <si>
    <t>Расчет цены : (Цена в Базовом уровне * Индекс) = Цена в Текущем уровне                                         ( 92.18  * 6.78  = 624.98 )</t>
  </si>
  <si>
    <t>Расчет цены : (Цена в Базовом уровне * Индекс) = Цена в Текущем уровне                                         ( 14.23  * 6.78  = 96.48 )</t>
  </si>
  <si>
    <t>Расчет цены : (Цена в Базовом уровне * Индекс) = Цена в Текущем уровне                                         ( 32.15  * 6.78  = 217.98 )</t>
  </si>
  <si>
    <t>- стоимость материалов (последний расчет)</t>
  </si>
  <si>
    <t>Заготовительно-складские расходы</t>
  </si>
  <si>
    <t>Фасады стен здания литер Б, Б1, Б2 (Диспетчерская) г. Орел, пл. Поликарпова,8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</si>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</sst>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rgb="FF008000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 Cyr"/>
      <charset val="204"/>
    </font>
    <font>
      <b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sz val="9"/>
      <color rgb="FFFFFFFF"/>
      <name val="Arial"/>
      <family val="2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3" fontId="0" fillId="0" borderId="0" xfId="0" applyNumberFormat="1"/>
    <xf numFmtId="0" fontId="11" fillId="0" borderId="10" xfId="0" applyFont="1" applyBorder="1"/>
    <xf numFmtId="0" fontId="22" fillId="0" borderId="0" xfId="0" applyFont="1"/>
    <xf numFmtId="0" fontId="23" fillId="0" borderId="0" xfId="0" applyFont="1"/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7" fillId="0" borderId="0" xfId="0" applyNumberFormat="1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left" indent="1"/>
    </xf>
    <xf numFmtId="0" fontId="11" fillId="0" borderId="3" xfId="0" applyFont="1" applyBorder="1"/>
    <xf numFmtId="3" fontId="11" fillId="0" borderId="2" xfId="0" applyNumberFormat="1" applyFont="1" applyBorder="1" applyAlignment="1">
      <alignment shrinkToFit="1"/>
    </xf>
    <xf numFmtId="0" fontId="11" fillId="0" borderId="2" xfId="0" applyFont="1" applyBorder="1" applyAlignment="1">
      <alignment horizontal="right" shrinkToFit="1"/>
    </xf>
    <xf numFmtId="3" fontId="11" fillId="0" borderId="10" xfId="0" applyNumberFormat="1" applyFont="1" applyBorder="1" applyAlignment="1">
      <alignment horizontal="right" shrinkToFit="1"/>
    </xf>
    <xf numFmtId="0" fontId="11" fillId="0" borderId="2" xfId="0" applyFont="1" applyBorder="1"/>
    <xf numFmtId="0" fontId="11" fillId="0" borderId="2" xfId="0" applyFont="1" applyBorder="1" applyAlignment="1">
      <alignment horizontal="left" shrinkToFit="1"/>
    </xf>
    <xf numFmtId="0" fontId="11" fillId="0" borderId="4" xfId="0" applyFont="1" applyBorder="1" applyAlignment="1">
      <alignment horizontal="left" indent="1"/>
    </xf>
    <xf numFmtId="0" fontId="11" fillId="0" borderId="5" xfId="0" applyFont="1" applyBorder="1"/>
    <xf numFmtId="3" fontId="11" fillId="0" borderId="4" xfId="0" applyNumberFormat="1" applyFont="1" applyBorder="1" applyAlignment="1">
      <alignment shrinkToFit="1"/>
    </xf>
    <xf numFmtId="0" fontId="11" fillId="0" borderId="4" xfId="0" applyFont="1" applyBorder="1" applyAlignment="1">
      <alignment horizontal="right" shrinkToFit="1"/>
    </xf>
    <xf numFmtId="4" fontId="25" fillId="0" borderId="10" xfId="0" applyNumberFormat="1" applyFont="1" applyBorder="1" applyAlignment="1">
      <alignment horizontal="right" shrinkToFit="1"/>
    </xf>
    <xf numFmtId="4" fontId="25" fillId="0" borderId="6" xfId="0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/>
    <xf numFmtId="0" fontId="19" fillId="0" borderId="0" xfId="0" applyFont="1" applyAlignment="1">
      <alignment wrapText="1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9" fillId="0" borderId="0" xfId="0" applyFont="1"/>
    <xf numFmtId="0" fontId="18" fillId="0" borderId="0" xfId="0" applyFont="1" applyAlignment="1">
      <alignment horizontal="left" vertical="top"/>
    </xf>
    <xf numFmtId="3" fontId="18" fillId="0" borderId="0" xfId="0" applyNumberFormat="1" applyFont="1" applyAlignment="1">
      <alignment horizontal="right" vertical="top" shrinkToFit="1"/>
    </xf>
    <xf numFmtId="0" fontId="0" fillId="0" borderId="6" xfId="0" applyFill="1" applyBorder="1"/>
    <xf numFmtId="0" fontId="18" fillId="0" borderId="6" xfId="0" applyFont="1" applyFill="1" applyBorder="1" applyAlignment="1">
      <alignment horizontal="left" vertical="top"/>
    </xf>
    <xf numFmtId="3" fontId="18" fillId="0" borderId="6" xfId="0" applyNumberFormat="1" applyFont="1" applyFill="1" applyBorder="1" applyAlignment="1">
      <alignment horizontal="right" vertical="top" shrinkToFit="1"/>
    </xf>
    <xf numFmtId="0" fontId="18" fillId="0" borderId="6" xfId="0" applyFont="1" applyFill="1" applyBorder="1"/>
    <xf numFmtId="0" fontId="21" fillId="0" borderId="6" xfId="0" applyFont="1" applyFill="1" applyBorder="1" applyAlignment="1">
      <alignment horizontal="center" vertical="top" shrinkToFit="1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right" shrinkToFit="1"/>
    </xf>
    <xf numFmtId="4" fontId="21" fillId="0" borderId="6" xfId="0" applyNumberFormat="1" applyFont="1" applyFill="1" applyBorder="1" applyAlignment="1">
      <alignment horizontal="right" shrinkToFit="1"/>
    </xf>
    <xf numFmtId="3" fontId="21" fillId="0" borderId="6" xfId="0" applyNumberFormat="1" applyFont="1" applyFill="1" applyBorder="1" applyAlignment="1">
      <alignment horizontal="right" shrinkToFit="1"/>
    </xf>
    <xf numFmtId="0" fontId="24" fillId="0" borderId="6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right" vertical="top"/>
    </xf>
    <xf numFmtId="3" fontId="11" fillId="0" borderId="0" xfId="0" applyNumberFormat="1" applyFont="1" applyAlignment="1">
      <alignment horizontal="right" vertical="top" shrinkToFit="1"/>
    </xf>
    <xf numFmtId="0" fontId="12" fillId="0" borderId="9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/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left" vertical="top"/>
    </xf>
    <xf numFmtId="0" fontId="34" fillId="0" borderId="0" xfId="0" applyFont="1"/>
    <xf numFmtId="0" fontId="33" fillId="0" borderId="0" xfId="0" applyFont="1"/>
    <xf numFmtId="0" fontId="36" fillId="0" borderId="0" xfId="0" applyFont="1"/>
    <xf numFmtId="4" fontId="35" fillId="0" borderId="0" xfId="0" applyNumberFormat="1" applyFont="1" applyAlignment="1">
      <alignment horizontal="right" shrinkToFit="1"/>
    </xf>
    <xf numFmtId="0" fontId="33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wrapText="1"/>
    </xf>
    <xf numFmtId="0" fontId="37" fillId="0" borderId="21" xfId="0" applyFont="1" applyBorder="1" applyAlignment="1">
      <alignment horizontal="left" vertical="top" wrapText="1"/>
    </xf>
    <xf numFmtId="49" fontId="37" fillId="0" borderId="20" xfId="0" applyNumberFormat="1" applyFont="1" applyBorder="1" applyAlignment="1">
      <alignment horizontal="left" vertical="top" wrapText="1"/>
    </xf>
    <xf numFmtId="0" fontId="35" fillId="0" borderId="20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right" vertical="top" wrapText="1"/>
    </xf>
    <xf numFmtId="0" fontId="35" fillId="0" borderId="20" xfId="0" applyFont="1" applyBorder="1" applyAlignment="1">
      <alignment horizontal="right" vertical="top" shrinkToFit="1"/>
    </xf>
    <xf numFmtId="4" fontId="34" fillId="0" borderId="20" xfId="0" applyNumberFormat="1" applyFont="1" applyBorder="1" applyAlignment="1">
      <alignment vertical="top" shrinkToFit="1"/>
    </xf>
    <xf numFmtId="3" fontId="34" fillId="0" borderId="20" xfId="0" applyNumberFormat="1" applyFont="1" applyBorder="1" applyAlignment="1">
      <alignment vertical="top" shrinkToFit="1"/>
    </xf>
    <xf numFmtId="3" fontId="34" fillId="0" borderId="22" xfId="0" applyNumberFormat="1" applyFont="1" applyBorder="1" applyAlignment="1">
      <alignment vertical="top" shrinkToFit="1"/>
    </xf>
    <xf numFmtId="0" fontId="34" fillId="0" borderId="23" xfId="0" applyFont="1" applyBorder="1"/>
    <xf numFmtId="0" fontId="34" fillId="0" borderId="10" xfId="0" applyFont="1" applyBorder="1"/>
    <xf numFmtId="0" fontId="37" fillId="0" borderId="10" xfId="0" applyFont="1" applyBorder="1" applyAlignment="1">
      <alignment horizontal="left" vertical="top" shrinkToFit="1"/>
    </xf>
    <xf numFmtId="0" fontId="37" fillId="0" borderId="10" xfId="0" applyFont="1" applyBorder="1" applyAlignment="1">
      <alignment horizontal="right" vertical="top"/>
    </xf>
    <xf numFmtId="0" fontId="37" fillId="0" borderId="10" xfId="0" applyFont="1" applyBorder="1" applyAlignment="1">
      <alignment horizontal="left" vertical="top"/>
    </xf>
    <xf numFmtId="3" fontId="34" fillId="0" borderId="10" xfId="0" applyNumberFormat="1" applyFont="1" applyBorder="1" applyAlignment="1">
      <alignment horizontal="right" vertical="top" shrinkToFit="1"/>
    </xf>
    <xf numFmtId="0" fontId="34" fillId="0" borderId="24" xfId="0" applyFont="1" applyBorder="1"/>
    <xf numFmtId="0" fontId="34" fillId="0" borderId="15" xfId="0" applyFont="1" applyBorder="1"/>
    <xf numFmtId="0" fontId="34" fillId="0" borderId="25" xfId="0" applyFont="1" applyBorder="1"/>
    <xf numFmtId="0" fontId="37" fillId="0" borderId="25" xfId="0" applyFont="1" applyBorder="1" applyAlignment="1">
      <alignment horizontal="left" vertical="top" shrinkToFit="1"/>
    </xf>
    <xf numFmtId="0" fontId="37" fillId="0" borderId="25" xfId="0" applyFont="1" applyBorder="1" applyAlignment="1">
      <alignment horizontal="right" vertical="top"/>
    </xf>
    <xf numFmtId="0" fontId="37" fillId="0" borderId="25" xfId="0" applyFont="1" applyBorder="1" applyAlignment="1">
      <alignment horizontal="left" vertical="top"/>
    </xf>
    <xf numFmtId="3" fontId="34" fillId="0" borderId="25" xfId="0" applyNumberFormat="1" applyFont="1" applyBorder="1" applyAlignment="1">
      <alignment horizontal="right" vertical="top" shrinkToFit="1"/>
    </xf>
    <xf numFmtId="0" fontId="34" fillId="0" borderId="26" xfId="0" applyFont="1" applyBorder="1"/>
    <xf numFmtId="0" fontId="38" fillId="0" borderId="15" xfId="0" applyFont="1" applyBorder="1"/>
    <xf numFmtId="0" fontId="38" fillId="0" borderId="25" xfId="0" applyFont="1" applyBorder="1"/>
    <xf numFmtId="0" fontId="39" fillId="0" borderId="25" xfId="0" applyFont="1" applyBorder="1" applyAlignment="1">
      <alignment horizontal="left" vertical="top" shrinkToFit="1"/>
    </xf>
    <xf numFmtId="0" fontId="39" fillId="0" borderId="25" xfId="0" applyFont="1" applyBorder="1" applyAlignment="1">
      <alignment horizontal="right" vertical="top"/>
    </xf>
    <xf numFmtId="0" fontId="39" fillId="0" borderId="25" xfId="0" applyFont="1" applyBorder="1" applyAlignment="1">
      <alignment horizontal="left" vertical="top"/>
    </xf>
    <xf numFmtId="3" fontId="38" fillId="0" borderId="25" xfId="0" applyNumberFormat="1" applyFont="1" applyBorder="1" applyAlignment="1">
      <alignment horizontal="right" vertical="top" shrinkToFit="1"/>
    </xf>
    <xf numFmtId="0" fontId="38" fillId="0" borderId="26" xfId="0" applyFont="1" applyBorder="1"/>
    <xf numFmtId="0" fontId="37" fillId="0" borderId="27" xfId="0" applyFont="1" applyBorder="1" applyAlignment="1">
      <alignment horizontal="left" vertical="top" wrapText="1"/>
    </xf>
    <xf numFmtId="49" fontId="37" fillId="0" borderId="6" xfId="0" applyNumberFormat="1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right" vertical="top" wrapText="1"/>
    </xf>
    <xf numFmtId="0" fontId="35" fillId="0" borderId="6" xfId="0" applyFont="1" applyBorder="1" applyAlignment="1">
      <alignment horizontal="right" vertical="top" shrinkToFit="1"/>
    </xf>
    <xf numFmtId="4" fontId="34" fillId="0" borderId="6" xfId="0" applyNumberFormat="1" applyFont="1" applyBorder="1" applyAlignment="1">
      <alignment vertical="top" shrinkToFit="1"/>
    </xf>
    <xf numFmtId="3" fontId="34" fillId="0" borderId="6" xfId="0" applyNumberFormat="1" applyFont="1" applyBorder="1" applyAlignment="1">
      <alignment vertical="top" shrinkToFit="1"/>
    </xf>
    <xf numFmtId="3" fontId="34" fillId="0" borderId="28" xfId="0" applyNumberFormat="1" applyFont="1" applyBorder="1" applyAlignment="1">
      <alignment vertical="top" shrinkToFit="1"/>
    </xf>
    <xf numFmtId="0" fontId="34" fillId="0" borderId="18" xfId="0" applyFont="1" applyBorder="1" applyAlignment="1">
      <alignment shrinkToFit="1"/>
    </xf>
    <xf numFmtId="0" fontId="38" fillId="0" borderId="18" xfId="0" applyFont="1" applyBorder="1" applyAlignment="1">
      <alignment shrinkToFit="1"/>
    </xf>
    <xf numFmtId="3" fontId="38" fillId="0" borderId="18" xfId="0" applyNumberFormat="1" applyFont="1" applyBorder="1" applyAlignment="1">
      <alignment shrinkToFit="1"/>
    </xf>
    <xf numFmtId="0" fontId="11" fillId="0" borderId="29" xfId="0" applyFont="1" applyBorder="1" applyAlignment="1">
      <alignment horizontal="left" indent="1"/>
    </xf>
    <xf numFmtId="0" fontId="11" fillId="0" borderId="9" xfId="0" applyFont="1" applyBorder="1"/>
    <xf numFmtId="3" fontId="11" fillId="0" borderId="29" xfId="0" applyNumberFormat="1" applyFont="1" applyBorder="1" applyAlignment="1">
      <alignment shrinkToFit="1"/>
    </xf>
    <xf numFmtId="0" fontId="11" fillId="0" borderId="29" xfId="0" applyFont="1" applyBorder="1" applyAlignment="1">
      <alignment horizontal="right" shrinkToFit="1"/>
    </xf>
    <xf numFmtId="3" fontId="18" fillId="0" borderId="30" xfId="0" applyNumberFormat="1" applyFont="1" applyBorder="1" applyAlignment="1">
      <alignment horizontal="right" shrinkToFit="1"/>
    </xf>
    <xf numFmtId="0" fontId="30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0" xfId="0" applyFont="1"/>
    <xf numFmtId="0" fontId="0" fillId="0" borderId="0" xfId="0"/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6" fillId="0" borderId="3" xfId="0" applyFont="1" applyBorder="1" applyAlignment="1">
      <alignment horizontal="center"/>
    </xf>
    <xf numFmtId="3" fontId="18" fillId="0" borderId="0" xfId="0" applyNumberFormat="1" applyFont="1" applyAlignment="1">
      <alignment shrinkToFit="1"/>
    </xf>
    <xf numFmtId="3" fontId="0" fillId="0" borderId="0" xfId="0" applyNumberFormat="1" applyAlignment="1">
      <alignment shrinkToFi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3" fontId="38" fillId="0" borderId="18" xfId="0" applyNumberFormat="1" applyFont="1" applyBorder="1" applyAlignment="1">
      <alignment shrinkToFit="1"/>
    </xf>
    <xf numFmtId="0" fontId="0" fillId="0" borderId="0" xfId="0" applyAlignment="1"/>
    <xf numFmtId="0" fontId="18" fillId="0" borderId="0" xfId="0" applyFont="1" applyAlignment="1"/>
    <xf numFmtId="3" fontId="23" fillId="0" borderId="0" xfId="0" applyNumberFormat="1" applyFont="1" applyAlignment="1">
      <alignment shrinkToFi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5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8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58"/>
  <sheetViews>
    <sheetView topLeftCell="A31" workbookViewId="0">
      <selection activeCell="E27" sqref="E27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5" customFormat="1" ht="11.25" x14ac:dyDescent="0.2">
      <c r="A1" s="159" t="s">
        <v>340</v>
      </c>
      <c r="B1" s="159"/>
      <c r="C1" s="159"/>
      <c r="D1" s="159"/>
      <c r="E1" s="159"/>
      <c r="F1" s="159"/>
      <c r="G1" s="159"/>
    </row>
    <row r="2" spans="1:255" x14ac:dyDescent="0.2">
      <c r="A2" s="160"/>
      <c r="B2" s="160"/>
      <c r="C2" s="160"/>
      <c r="D2" s="160"/>
      <c r="E2" s="160"/>
      <c r="F2" s="160"/>
      <c r="G2" s="160"/>
    </row>
    <row r="3" spans="1:255" x14ac:dyDescent="0.2">
      <c r="A3" s="20" t="s">
        <v>347</v>
      </c>
      <c r="C3" s="161"/>
      <c r="D3" s="162"/>
      <c r="E3" s="162"/>
      <c r="F3" s="162"/>
      <c r="G3" s="162"/>
      <c r="BR3" s="22">
        <f>C3</f>
        <v>0</v>
      </c>
      <c r="IU3" s="23"/>
    </row>
    <row r="4" spans="1:255" x14ac:dyDescent="0.2">
      <c r="A4" s="20" t="s">
        <v>349</v>
      </c>
      <c r="C4" s="163"/>
      <c r="D4" s="164"/>
      <c r="E4" s="164"/>
      <c r="F4" s="164"/>
      <c r="G4" s="164"/>
      <c r="BR4" s="22">
        <f>C4</f>
        <v>0</v>
      </c>
      <c r="IU4" s="23"/>
    </row>
    <row r="5" spans="1:255" x14ac:dyDescent="0.2">
      <c r="A5" s="20" t="s">
        <v>350</v>
      </c>
      <c r="C5" s="163"/>
      <c r="D5" s="164"/>
      <c r="E5" s="164"/>
      <c r="F5" s="164"/>
      <c r="G5" s="164"/>
      <c r="BR5" s="22">
        <f>C5</f>
        <v>0</v>
      </c>
      <c r="IU5" s="23"/>
    </row>
    <row r="6" spans="1:255" x14ac:dyDescent="0.2">
      <c r="A6" s="20" t="s">
        <v>351</v>
      </c>
      <c r="C6" s="157"/>
      <c r="D6" s="158"/>
      <c r="E6" s="158"/>
      <c r="F6" s="158"/>
      <c r="G6" s="158"/>
      <c r="BR6" s="22">
        <f>C6</f>
        <v>0</v>
      </c>
      <c r="IU6" s="23"/>
    </row>
    <row r="8" spans="1:255" x14ac:dyDescent="0.2">
      <c r="A8" s="151"/>
      <c r="B8" s="151"/>
      <c r="C8" s="151"/>
      <c r="D8" s="151"/>
      <c r="E8" s="151"/>
      <c r="F8" s="151"/>
      <c r="G8" s="151"/>
    </row>
    <row r="9" spans="1:255" ht="15" x14ac:dyDescent="0.25">
      <c r="A9" s="152" t="s">
        <v>447</v>
      </c>
      <c r="B9" s="152"/>
      <c r="C9" s="152"/>
      <c r="D9" s="152"/>
      <c r="E9" s="152"/>
      <c r="F9" s="152"/>
      <c r="G9" s="152"/>
    </row>
    <row r="10" spans="1:255" ht="15" x14ac:dyDescent="0.25">
      <c r="A10" s="152"/>
      <c r="B10" s="152"/>
      <c r="C10" s="152"/>
      <c r="D10" s="152"/>
      <c r="E10" s="152"/>
      <c r="F10" s="152"/>
      <c r="G10" s="152"/>
    </row>
    <row r="11" spans="1:255" x14ac:dyDescent="0.2">
      <c r="A11" s="153"/>
      <c r="B11" s="153"/>
      <c r="C11" s="153"/>
      <c r="D11" s="153"/>
      <c r="E11" s="153"/>
      <c r="F11" s="153"/>
      <c r="G11" s="153"/>
    </row>
    <row r="12" spans="1:255" x14ac:dyDescent="0.2">
      <c r="A12" s="151"/>
      <c r="B12" s="151"/>
      <c r="C12" s="151"/>
      <c r="D12" s="151"/>
      <c r="E12" s="151"/>
      <c r="F12" s="151"/>
      <c r="G12" s="151"/>
    </row>
    <row r="13" spans="1:255" ht="15.75" x14ac:dyDescent="0.25">
      <c r="A13" s="14" t="s">
        <v>353</v>
      </c>
      <c r="B13" s="154"/>
      <c r="C13" s="154"/>
      <c r="D13" s="154"/>
      <c r="E13" s="154"/>
      <c r="F13" s="154"/>
      <c r="G13" s="154"/>
      <c r="BS13" s="69">
        <f>B13</f>
        <v>0</v>
      </c>
      <c r="IU13" s="23"/>
    </row>
    <row r="14" spans="1:255" x14ac:dyDescent="0.2">
      <c r="A14" s="155"/>
      <c r="B14" s="155"/>
      <c r="C14" s="155"/>
      <c r="D14" s="155"/>
      <c r="E14" s="155"/>
      <c r="F14" s="155"/>
      <c r="G14" s="155"/>
    </row>
    <row r="15" spans="1:255" x14ac:dyDescent="0.2">
      <c r="A15" s="14" t="s">
        <v>448</v>
      </c>
    </row>
    <row r="16" spans="1:255" x14ac:dyDescent="0.2">
      <c r="A16" s="14" t="s">
        <v>368</v>
      </c>
    </row>
    <row r="17" spans="1:255" x14ac:dyDescent="0.2">
      <c r="A17" s="70" t="s">
        <v>449</v>
      </c>
      <c r="B17" s="70" t="s">
        <v>451</v>
      </c>
      <c r="C17" s="70" t="s">
        <v>420</v>
      </c>
      <c r="D17" s="70" t="s">
        <v>387</v>
      </c>
      <c r="E17" s="70" t="s">
        <v>390</v>
      </c>
      <c r="F17" s="70" t="s">
        <v>456</v>
      </c>
      <c r="G17" s="70" t="s">
        <v>458</v>
      </c>
      <c r="H17" s="70" t="s">
        <v>460</v>
      </c>
      <c r="I17" s="71" t="s">
        <v>432</v>
      </c>
    </row>
    <row r="18" spans="1:255" x14ac:dyDescent="0.2">
      <c r="A18" s="72" t="s">
        <v>450</v>
      </c>
      <c r="B18" s="72" t="s">
        <v>452</v>
      </c>
      <c r="C18" s="72" t="s">
        <v>453</v>
      </c>
      <c r="D18" s="72" t="s">
        <v>454</v>
      </c>
      <c r="E18" s="72" t="s">
        <v>391</v>
      </c>
      <c r="F18" s="72" t="s">
        <v>457</v>
      </c>
      <c r="G18" s="72" t="s">
        <v>459</v>
      </c>
      <c r="H18" s="72" t="s">
        <v>461</v>
      </c>
      <c r="I18" s="73" t="s">
        <v>433</v>
      </c>
    </row>
    <row r="19" spans="1:255" x14ac:dyDescent="0.2">
      <c r="A19" s="72"/>
      <c r="B19" s="72" t="s">
        <v>385</v>
      </c>
      <c r="C19" s="72"/>
      <c r="D19" s="72" t="s">
        <v>455</v>
      </c>
      <c r="E19" s="72"/>
      <c r="F19" s="72"/>
      <c r="G19" s="72" t="s">
        <v>457</v>
      </c>
      <c r="H19" s="72" t="s">
        <v>462</v>
      </c>
      <c r="I19" s="73"/>
    </row>
    <row r="20" spans="1:255" x14ac:dyDescent="0.2">
      <c r="A20" s="70">
        <v>1</v>
      </c>
      <c r="B20" s="70">
        <v>2</v>
      </c>
      <c r="C20" s="70">
        <v>3</v>
      </c>
      <c r="D20" s="70">
        <v>4</v>
      </c>
      <c r="E20" s="70">
        <v>5</v>
      </c>
      <c r="F20" s="70">
        <v>6</v>
      </c>
      <c r="G20" s="70">
        <v>7</v>
      </c>
      <c r="H20" s="70">
        <v>8</v>
      </c>
      <c r="I20" s="71">
        <v>9</v>
      </c>
    </row>
    <row r="21" spans="1:255" x14ac:dyDescent="0.2">
      <c r="A21" s="80"/>
      <c r="B21" s="80" t="s">
        <v>463</v>
      </c>
      <c r="C21" s="80"/>
      <c r="D21" s="80"/>
      <c r="E21" s="80"/>
      <c r="F21" s="80"/>
      <c r="G21" s="77"/>
      <c r="H21" s="77"/>
      <c r="I21" s="77"/>
    </row>
    <row r="22" spans="1:255" s="39" customFormat="1" ht="24" x14ac:dyDescent="0.2">
      <c r="A22" s="81">
        <v>1</v>
      </c>
      <c r="B22" s="82" t="s">
        <v>250</v>
      </c>
      <c r="C22" s="82" t="s">
        <v>252</v>
      </c>
      <c r="D22" s="82" t="s">
        <v>44</v>
      </c>
      <c r="E22" s="83">
        <f t="shared" ref="E22:E34" si="0">O22</f>
        <v>5.6487599999999999E-2</v>
      </c>
      <c r="F22" s="84">
        <f>ROUND( 3210.5 * 6.78, 2 )</f>
        <v>21767.19</v>
      </c>
      <c r="G22" s="85">
        <f t="shared" ref="G22:G34" si="1">ROUND(E22*F22,0)</f>
        <v>1230</v>
      </c>
      <c r="H22" s="86" t="s">
        <v>468</v>
      </c>
      <c r="I22" s="86" t="s">
        <v>465</v>
      </c>
      <c r="N22" s="74"/>
      <c r="O22" s="74">
        <f t="shared" ref="O22:O34" si="2">SUM(P22:IV22)</f>
        <v>5.6487599999999999E-2</v>
      </c>
      <c r="P22" s="74">
        <f>SmtRes!CX43</f>
        <v>5.6487599999999999E-2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</row>
    <row r="23" spans="1:255" s="39" customFormat="1" ht="24" x14ac:dyDescent="0.2">
      <c r="A23" s="81">
        <v>2</v>
      </c>
      <c r="B23" s="82" t="s">
        <v>290</v>
      </c>
      <c r="C23" s="82" t="s">
        <v>292</v>
      </c>
      <c r="D23" s="82" t="s">
        <v>265</v>
      </c>
      <c r="E23" s="83">
        <f t="shared" si="0"/>
        <v>0.10389999999999999</v>
      </c>
      <c r="F23" s="84">
        <f>ROUND( 1.82 * 6.78, 2 )</f>
        <v>12.34</v>
      </c>
      <c r="G23" s="85">
        <f t="shared" si="1"/>
        <v>1</v>
      </c>
      <c r="H23" s="86" t="s">
        <v>477</v>
      </c>
      <c r="I23" s="86" t="s">
        <v>465</v>
      </c>
      <c r="N23" s="74"/>
      <c r="O23" s="74">
        <f t="shared" si="2"/>
        <v>0.10389999999999999</v>
      </c>
      <c r="P23" s="74">
        <f>SmtRes!CX103</f>
        <v>0.10389999999999999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</row>
    <row r="24" spans="1:255" s="39" customFormat="1" ht="24" x14ac:dyDescent="0.2">
      <c r="A24" s="81">
        <v>3</v>
      </c>
      <c r="B24" s="82" t="s">
        <v>239</v>
      </c>
      <c r="C24" s="82" t="s">
        <v>241</v>
      </c>
      <c r="D24" s="82" t="s">
        <v>242</v>
      </c>
      <c r="E24" s="83">
        <f t="shared" si="0"/>
        <v>0.48545999999999995</v>
      </c>
      <c r="F24" s="84">
        <f>ROUND( 2.44 * 6.78, 2 )</f>
        <v>16.54</v>
      </c>
      <c r="G24" s="85">
        <f t="shared" si="1"/>
        <v>8</v>
      </c>
      <c r="H24" s="86" t="s">
        <v>466</v>
      </c>
      <c r="I24" s="86" t="s">
        <v>465</v>
      </c>
      <c r="N24" s="74"/>
      <c r="O24" s="74">
        <f t="shared" si="2"/>
        <v>0.48545999999999995</v>
      </c>
      <c r="P24" s="74">
        <f>SmtRes!CX15</f>
        <v>0.24713499999999997</v>
      </c>
      <c r="Q24" s="74">
        <f>SmtRes!CX29</f>
        <v>0.18182499999999999</v>
      </c>
      <c r="R24" s="74">
        <f>SmtRes!CX90</f>
        <v>5.6500000000000002E-2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</row>
    <row r="25" spans="1:255" s="39" customFormat="1" ht="24" x14ac:dyDescent="0.2">
      <c r="A25" s="81">
        <v>4</v>
      </c>
      <c r="B25" s="82" t="s">
        <v>283</v>
      </c>
      <c r="C25" s="82" t="s">
        <v>285</v>
      </c>
      <c r="D25" s="82" t="s">
        <v>44</v>
      </c>
      <c r="E25" s="83">
        <f t="shared" si="0"/>
        <v>6.8999999999999999E-3</v>
      </c>
      <c r="F25" s="84">
        <f>ROUND( 11978 * 6.78, 2 )</f>
        <v>81210.84</v>
      </c>
      <c r="G25" s="85">
        <f t="shared" si="1"/>
        <v>560</v>
      </c>
      <c r="H25" s="86" t="s">
        <v>476</v>
      </c>
      <c r="I25" s="86" t="s">
        <v>465</v>
      </c>
      <c r="N25" s="74"/>
      <c r="O25" s="74">
        <f t="shared" si="2"/>
        <v>6.8999999999999999E-3</v>
      </c>
      <c r="P25" s="74">
        <f>SmtRes!CX86</f>
        <v>6.8999999999999999E-3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</row>
    <row r="26" spans="1:255" s="39" customFormat="1" ht="24" x14ac:dyDescent="0.2">
      <c r="A26" s="81">
        <v>5</v>
      </c>
      <c r="B26" s="82" t="s">
        <v>271</v>
      </c>
      <c r="C26" s="82" t="s">
        <v>273</v>
      </c>
      <c r="D26" s="82" t="s">
        <v>44</v>
      </c>
      <c r="E26" s="83">
        <f t="shared" si="0"/>
        <v>4.7809999999999997E-4</v>
      </c>
      <c r="F26" s="84">
        <f>ROUND( 8475 * 6.78, 2 )</f>
        <v>57460.5</v>
      </c>
      <c r="G26" s="85">
        <f t="shared" si="1"/>
        <v>27</v>
      </c>
      <c r="H26" s="86" t="s">
        <v>473</v>
      </c>
      <c r="I26" s="86" t="s">
        <v>465</v>
      </c>
      <c r="N26" s="74"/>
      <c r="O26" s="74">
        <f t="shared" si="2"/>
        <v>4.7809999999999997E-4</v>
      </c>
      <c r="P26" s="74">
        <f>SmtRes!CX64</f>
        <v>1.26E-4</v>
      </c>
      <c r="Q26" s="74">
        <f>SmtRes!CX75</f>
        <v>3.5209999999999999E-4</v>
      </c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</row>
    <row r="27" spans="1:255" s="39" customFormat="1" ht="48" x14ac:dyDescent="0.2">
      <c r="A27" s="81">
        <v>6</v>
      </c>
      <c r="B27" s="82" t="s">
        <v>253</v>
      </c>
      <c r="C27" s="82" t="s">
        <v>255</v>
      </c>
      <c r="D27" s="82" t="s">
        <v>44</v>
      </c>
      <c r="E27" s="83">
        <f t="shared" si="0"/>
        <v>1.41219E-2</v>
      </c>
      <c r="F27" s="84">
        <f>ROUND( 16385 * 6.78, 2 )</f>
        <v>111090.3</v>
      </c>
      <c r="G27" s="85">
        <f t="shared" si="1"/>
        <v>1569</v>
      </c>
      <c r="H27" s="86" t="s">
        <v>469</v>
      </c>
      <c r="I27" s="86" t="s">
        <v>465</v>
      </c>
      <c r="N27" s="74"/>
      <c r="O27" s="74">
        <f t="shared" si="2"/>
        <v>1.41219E-2</v>
      </c>
      <c r="P27" s="74">
        <f>SmtRes!CX44</f>
        <v>1.41219E-2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</row>
    <row r="28" spans="1:255" s="39" customFormat="1" ht="24" x14ac:dyDescent="0.2">
      <c r="A28" s="81">
        <v>7</v>
      </c>
      <c r="B28" s="82" t="s">
        <v>262</v>
      </c>
      <c r="C28" s="82" t="s">
        <v>264</v>
      </c>
      <c r="D28" s="82" t="s">
        <v>265</v>
      </c>
      <c r="E28" s="83">
        <f t="shared" si="0"/>
        <v>6.5902199999999995</v>
      </c>
      <c r="F28" s="84">
        <f>ROUND( 8.09 * 6.78, 2 )</f>
        <v>54.85</v>
      </c>
      <c r="G28" s="85">
        <f t="shared" si="1"/>
        <v>361</v>
      </c>
      <c r="H28" s="86" t="s">
        <v>472</v>
      </c>
      <c r="I28" s="86" t="s">
        <v>465</v>
      </c>
      <c r="N28" s="74"/>
      <c r="O28" s="74">
        <f t="shared" si="2"/>
        <v>6.5902199999999995</v>
      </c>
      <c r="P28" s="74">
        <f>SmtRes!CX47</f>
        <v>6.5902199999999995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</row>
    <row r="29" spans="1:255" s="39" customFormat="1" ht="24" x14ac:dyDescent="0.2">
      <c r="A29" s="81">
        <v>8</v>
      </c>
      <c r="B29" s="82" t="s">
        <v>256</v>
      </c>
      <c r="C29" s="82" t="s">
        <v>258</v>
      </c>
      <c r="D29" s="82" t="s">
        <v>44</v>
      </c>
      <c r="E29" s="83">
        <f t="shared" si="0"/>
        <v>5.6487599999999999E-2</v>
      </c>
      <c r="F29" s="84">
        <f>ROUND( 586.47 * 6.78, 2 )</f>
        <v>3976.27</v>
      </c>
      <c r="G29" s="85">
        <f t="shared" si="1"/>
        <v>225</v>
      </c>
      <c r="H29" s="86" t="s">
        <v>470</v>
      </c>
      <c r="I29" s="86" t="s">
        <v>465</v>
      </c>
      <c r="N29" s="74"/>
      <c r="O29" s="74">
        <f t="shared" si="2"/>
        <v>5.6487599999999999E-2</v>
      </c>
      <c r="P29" s="74">
        <f>SmtRes!CX45</f>
        <v>5.6487599999999999E-2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</row>
    <row r="30" spans="1:255" s="39" customFormat="1" ht="36" x14ac:dyDescent="0.2">
      <c r="A30" s="81">
        <v>9</v>
      </c>
      <c r="B30" s="82" t="s">
        <v>259</v>
      </c>
      <c r="C30" s="82" t="s">
        <v>261</v>
      </c>
      <c r="D30" s="82" t="s">
        <v>242</v>
      </c>
      <c r="E30" s="83">
        <f t="shared" si="0"/>
        <v>2.2124310000000001E-2</v>
      </c>
      <c r="F30" s="84">
        <f>ROUND( 74.58 * 6.78, 2 )</f>
        <v>505.65</v>
      </c>
      <c r="G30" s="85">
        <f t="shared" si="1"/>
        <v>11</v>
      </c>
      <c r="H30" s="86" t="s">
        <v>471</v>
      </c>
      <c r="I30" s="86" t="s">
        <v>465</v>
      </c>
      <c r="N30" s="74"/>
      <c r="O30" s="74">
        <f t="shared" si="2"/>
        <v>2.2124310000000001E-2</v>
      </c>
      <c r="P30" s="74">
        <f>SmtRes!CX46</f>
        <v>2.2124310000000001E-2</v>
      </c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</row>
    <row r="31" spans="1:255" s="39" customFormat="1" ht="24" x14ac:dyDescent="0.2">
      <c r="A31" s="81">
        <v>10</v>
      </c>
      <c r="B31" s="82" t="s">
        <v>274</v>
      </c>
      <c r="C31" s="82" t="s">
        <v>276</v>
      </c>
      <c r="D31" s="82" t="s">
        <v>44</v>
      </c>
      <c r="E31" s="83">
        <f t="shared" si="0"/>
        <v>3.7800000000000003E-4</v>
      </c>
      <c r="F31" s="84">
        <f>ROUND( 8190 * 6.78, 2 )</f>
        <v>55528.2</v>
      </c>
      <c r="G31" s="85">
        <f t="shared" si="1"/>
        <v>21</v>
      </c>
      <c r="H31" s="86" t="s">
        <v>474</v>
      </c>
      <c r="I31" s="86" t="s">
        <v>465</v>
      </c>
      <c r="N31" s="74"/>
      <c r="O31" s="74">
        <f t="shared" si="2"/>
        <v>3.7800000000000003E-4</v>
      </c>
      <c r="P31" s="74">
        <f>SmtRes!CX65</f>
        <v>3.7800000000000003E-4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</row>
    <row r="32" spans="1:255" s="39" customFormat="1" ht="24" x14ac:dyDescent="0.2">
      <c r="A32" s="81">
        <v>11</v>
      </c>
      <c r="B32" s="82" t="s">
        <v>243</v>
      </c>
      <c r="C32" s="82" t="s">
        <v>245</v>
      </c>
      <c r="D32" s="82" t="s">
        <v>242</v>
      </c>
      <c r="E32" s="83">
        <f t="shared" si="0"/>
        <v>5.9104100000000006</v>
      </c>
      <c r="F32" s="84">
        <f>ROUND( 517.91 * 6.78, 2 )</f>
        <v>3511.43</v>
      </c>
      <c r="G32" s="85">
        <f t="shared" si="1"/>
        <v>20754</v>
      </c>
      <c r="H32" s="86" t="s">
        <v>467</v>
      </c>
      <c r="I32" s="86" t="s">
        <v>465</v>
      </c>
      <c r="N32" s="74"/>
      <c r="O32" s="74">
        <f t="shared" si="2"/>
        <v>5.9104100000000006</v>
      </c>
      <c r="P32" s="74">
        <f>SmtRes!CX16</f>
        <v>3.10684</v>
      </c>
      <c r="Q32" s="74">
        <f>SmtRes!CX22</f>
        <v>0.51777000000000006</v>
      </c>
      <c r="R32" s="74">
        <f>SmtRes!CX30</f>
        <v>2.2858000000000001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</row>
    <row r="33" spans="1:255" s="39" customFormat="1" ht="24" x14ac:dyDescent="0.2">
      <c r="A33" s="81">
        <v>12</v>
      </c>
      <c r="B33" s="82" t="s">
        <v>277</v>
      </c>
      <c r="C33" s="82" t="s">
        <v>279</v>
      </c>
      <c r="D33" s="82" t="s">
        <v>44</v>
      </c>
      <c r="E33" s="83">
        <f t="shared" si="0"/>
        <v>3.24295E-2</v>
      </c>
      <c r="F33" s="84">
        <f>ROUND( 11200 * 6.78, 2 )</f>
        <v>75936</v>
      </c>
      <c r="G33" s="85">
        <f t="shared" si="1"/>
        <v>2463</v>
      </c>
      <c r="H33" s="86" t="s">
        <v>475</v>
      </c>
      <c r="I33" s="86" t="s">
        <v>465</v>
      </c>
      <c r="N33" s="74"/>
      <c r="O33" s="74">
        <f t="shared" si="2"/>
        <v>3.24295E-2</v>
      </c>
      <c r="P33" s="74">
        <f>SmtRes!CX66</f>
        <v>2.4633000000000002E-2</v>
      </c>
      <c r="Q33" s="74">
        <f>SmtRes!CX76</f>
        <v>7.7964999999999996E-3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</row>
    <row r="34" spans="1:255" s="39" customFormat="1" ht="24" x14ac:dyDescent="0.2">
      <c r="A34" s="81">
        <v>13</v>
      </c>
      <c r="B34" s="82" t="s">
        <v>231</v>
      </c>
      <c r="C34" s="82" t="s">
        <v>233</v>
      </c>
      <c r="D34" s="82" t="s">
        <v>85</v>
      </c>
      <c r="E34" s="83">
        <f t="shared" si="0"/>
        <v>8.8855599999999999</v>
      </c>
      <c r="F34" s="84">
        <f>ROUND( 35.22 * 6.78, 2 )</f>
        <v>238.79</v>
      </c>
      <c r="G34" s="85">
        <f t="shared" si="1"/>
        <v>2122</v>
      </c>
      <c r="H34" s="86" t="s">
        <v>464</v>
      </c>
      <c r="I34" s="86" t="s">
        <v>465</v>
      </c>
      <c r="N34" s="74"/>
      <c r="O34" s="74">
        <f t="shared" si="2"/>
        <v>8.8855599999999999</v>
      </c>
      <c r="P34" s="74">
        <f>SmtRes!CX8</f>
        <v>8.8855599999999999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</row>
    <row r="35" spans="1:255" x14ac:dyDescent="0.2">
      <c r="A35" s="77"/>
      <c r="B35" s="77"/>
      <c r="C35" s="78" t="s">
        <v>429</v>
      </c>
      <c r="D35" s="77"/>
      <c r="E35" s="77"/>
      <c r="F35" s="77"/>
      <c r="G35" s="79">
        <f>ROUND(SUM(G22:G34),0)</f>
        <v>29352</v>
      </c>
      <c r="H35" s="77"/>
      <c r="I35" s="77"/>
      <c r="J35" s="23"/>
      <c r="K35" s="23"/>
      <c r="L35" s="23"/>
      <c r="M35" s="49">
        <f>G35</f>
        <v>29352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x14ac:dyDescent="0.2">
      <c r="A36" s="80"/>
      <c r="B36" s="80" t="s">
        <v>478</v>
      </c>
      <c r="C36" s="80"/>
      <c r="D36" s="80"/>
      <c r="E36" s="80"/>
      <c r="F36" s="80"/>
      <c r="G36" s="77"/>
      <c r="H36" s="77"/>
      <c r="I36" s="77"/>
    </row>
    <row r="37" spans="1:255" s="39" customFormat="1" ht="24" x14ac:dyDescent="0.2">
      <c r="A37" s="81">
        <v>14</v>
      </c>
      <c r="B37" s="82" t="s">
        <v>42</v>
      </c>
      <c r="C37" s="82" t="s">
        <v>105</v>
      </c>
      <c r="D37" s="82" t="s">
        <v>85</v>
      </c>
      <c r="E37" s="83">
        <f t="shared" ref="E37:E43" si="3">O37</f>
        <v>470.73</v>
      </c>
      <c r="F37" s="84">
        <f>ROUND( 32.15 * 6.78, 2 )</f>
        <v>217.98</v>
      </c>
      <c r="G37" s="85">
        <f t="shared" ref="G37:G43" si="4">ROUND(E37*F37,0)</f>
        <v>102610</v>
      </c>
      <c r="H37" s="86" t="s">
        <v>485</v>
      </c>
      <c r="I37" s="86" t="s">
        <v>465</v>
      </c>
      <c r="N37" s="74"/>
      <c r="O37" s="74">
        <f t="shared" ref="O37:O43" si="5">SUM(P37:IV37)</f>
        <v>470.73</v>
      </c>
      <c r="P37" s="74">
        <f>Source!I61</f>
        <v>470.73</v>
      </c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</row>
    <row r="38" spans="1:255" s="39" customFormat="1" ht="24" x14ac:dyDescent="0.2">
      <c r="A38" s="81">
        <v>15</v>
      </c>
      <c r="B38" s="82" t="s">
        <v>42</v>
      </c>
      <c r="C38" s="82" t="s">
        <v>92</v>
      </c>
      <c r="D38" s="82" t="s">
        <v>44</v>
      </c>
      <c r="E38" s="83">
        <f t="shared" si="3"/>
        <v>4.6235499999999997E-3</v>
      </c>
      <c r="F38" s="84">
        <f>ROUND( 9218.29 * 6.78, 2 )</f>
        <v>62500.01</v>
      </c>
      <c r="G38" s="85">
        <f t="shared" si="4"/>
        <v>289</v>
      </c>
      <c r="H38" s="86" t="s">
        <v>482</v>
      </c>
      <c r="I38" s="86" t="s">
        <v>465</v>
      </c>
      <c r="N38" s="74"/>
      <c r="O38" s="74">
        <f t="shared" si="5"/>
        <v>4.6235499999999997E-3</v>
      </c>
      <c r="P38" s="74">
        <f>Source!I53</f>
        <v>4.6235499999999997E-3</v>
      </c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</row>
    <row r="39" spans="1:255" s="39" customFormat="1" ht="24" x14ac:dyDescent="0.2">
      <c r="A39" s="81">
        <v>16</v>
      </c>
      <c r="B39" s="82" t="s">
        <v>42</v>
      </c>
      <c r="C39" s="82" t="s">
        <v>102</v>
      </c>
      <c r="D39" s="82" t="s">
        <v>85</v>
      </c>
      <c r="E39" s="83">
        <f t="shared" si="3"/>
        <v>484.8519</v>
      </c>
      <c r="F39" s="84">
        <f>ROUND( 14.23 * 6.78, 2 )</f>
        <v>96.48</v>
      </c>
      <c r="G39" s="85">
        <f t="shared" si="4"/>
        <v>46779</v>
      </c>
      <c r="H39" s="86" t="s">
        <v>484</v>
      </c>
      <c r="I39" s="86" t="s">
        <v>465</v>
      </c>
      <c r="N39" s="74"/>
      <c r="O39" s="74">
        <f t="shared" si="5"/>
        <v>484.8519</v>
      </c>
      <c r="P39" s="74">
        <f>Source!I59</f>
        <v>484.8519</v>
      </c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</row>
    <row r="40" spans="1:255" s="39" customFormat="1" ht="24" x14ac:dyDescent="0.2">
      <c r="A40" s="81">
        <v>17</v>
      </c>
      <c r="B40" s="82" t="s">
        <v>42</v>
      </c>
      <c r="C40" s="82" t="s">
        <v>84</v>
      </c>
      <c r="D40" s="82" t="s">
        <v>85</v>
      </c>
      <c r="E40" s="83">
        <f t="shared" si="3"/>
        <v>54.547499999999999</v>
      </c>
      <c r="F40" s="84">
        <f>ROUND( 29.19 * 6.78, 2 )</f>
        <v>197.91</v>
      </c>
      <c r="G40" s="85">
        <f t="shared" si="4"/>
        <v>10795</v>
      </c>
      <c r="H40" s="86" t="s">
        <v>480</v>
      </c>
      <c r="I40" s="86" t="s">
        <v>465</v>
      </c>
      <c r="N40" s="74"/>
      <c r="O40" s="74">
        <f t="shared" si="5"/>
        <v>54.547499999999999</v>
      </c>
      <c r="P40" s="74">
        <f>Source!I49</f>
        <v>54.547499999999999</v>
      </c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</row>
    <row r="41" spans="1:255" s="39" customFormat="1" ht="24" x14ac:dyDescent="0.2">
      <c r="A41" s="81">
        <v>18</v>
      </c>
      <c r="B41" s="82" t="s">
        <v>42</v>
      </c>
      <c r="C41" s="82" t="s">
        <v>88</v>
      </c>
      <c r="D41" s="82" t="s">
        <v>89</v>
      </c>
      <c r="E41" s="83">
        <f t="shared" si="3"/>
        <v>25.15</v>
      </c>
      <c r="F41" s="84">
        <f>ROUND( 42.63 * 6.78, 2 )</f>
        <v>289.02999999999997</v>
      </c>
      <c r="G41" s="85">
        <f t="shared" si="4"/>
        <v>7269</v>
      </c>
      <c r="H41" s="86" t="s">
        <v>481</v>
      </c>
      <c r="I41" s="86" t="s">
        <v>465</v>
      </c>
      <c r="N41" s="74"/>
      <c r="O41" s="74">
        <f t="shared" si="5"/>
        <v>25.15</v>
      </c>
      <c r="P41" s="74">
        <f>Source!I51</f>
        <v>25.15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</row>
    <row r="42" spans="1:255" s="39" customFormat="1" ht="24" x14ac:dyDescent="0.2">
      <c r="A42" s="81">
        <v>19</v>
      </c>
      <c r="B42" s="82" t="s">
        <v>42</v>
      </c>
      <c r="C42" s="82" t="s">
        <v>99</v>
      </c>
      <c r="D42" s="82" t="s">
        <v>85</v>
      </c>
      <c r="E42" s="83">
        <f t="shared" si="3"/>
        <v>484.8519</v>
      </c>
      <c r="F42" s="84">
        <f>ROUND( 92.18 * 6.78, 2 )</f>
        <v>624.98</v>
      </c>
      <c r="G42" s="85">
        <f t="shared" si="4"/>
        <v>303023</v>
      </c>
      <c r="H42" s="86" t="s">
        <v>483</v>
      </c>
      <c r="I42" s="86" t="s">
        <v>465</v>
      </c>
      <c r="N42" s="74"/>
      <c r="O42" s="74">
        <f t="shared" si="5"/>
        <v>484.8519</v>
      </c>
      <c r="P42" s="74">
        <f>Source!I57</f>
        <v>484.8519</v>
      </c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</row>
    <row r="43" spans="1:255" s="39" customFormat="1" ht="24" x14ac:dyDescent="0.2">
      <c r="A43" s="81">
        <v>20</v>
      </c>
      <c r="B43" s="82" t="s">
        <v>42</v>
      </c>
      <c r="C43" s="82" t="s">
        <v>43</v>
      </c>
      <c r="D43" s="82" t="s">
        <v>44</v>
      </c>
      <c r="E43" s="83">
        <f t="shared" si="3"/>
        <v>5.6487599999999999E-2</v>
      </c>
      <c r="F43" s="84">
        <f>ROUND( 15978.36 * 6.78, 2 )</f>
        <v>108333.28</v>
      </c>
      <c r="G43" s="85">
        <f t="shared" si="4"/>
        <v>6119</v>
      </c>
      <c r="H43" s="86" t="s">
        <v>479</v>
      </c>
      <c r="I43" s="86" t="s">
        <v>465</v>
      </c>
      <c r="N43" s="74"/>
      <c r="O43" s="74">
        <f t="shared" si="5"/>
        <v>5.6487599999999999E-2</v>
      </c>
      <c r="P43" s="74">
        <f>Source!I35</f>
        <v>5.6487599999999999E-2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</row>
    <row r="44" spans="1:255" x14ac:dyDescent="0.2">
      <c r="A44" s="77"/>
      <c r="B44" s="77"/>
      <c r="C44" s="78" t="s">
        <v>429</v>
      </c>
      <c r="D44" s="77"/>
      <c r="E44" s="77"/>
      <c r="F44" s="77"/>
      <c r="G44" s="79">
        <f>ROUND(SUM(G37:G43),0)</f>
        <v>476884</v>
      </c>
      <c r="H44" s="77"/>
      <c r="I44" s="77"/>
      <c r="J44" s="23"/>
      <c r="K44" s="23"/>
      <c r="L44" s="23"/>
      <c r="M44" s="49">
        <f>G44</f>
        <v>476884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6" spans="1:255" x14ac:dyDescent="0.2">
      <c r="C46" s="75" t="s">
        <v>157</v>
      </c>
      <c r="G46" s="76">
        <f>ROUND(SUM(M21:M46),0)</f>
        <v>506236</v>
      </c>
    </row>
    <row r="48" spans="1:255" x14ac:dyDescent="0.2">
      <c r="C48" s="20" t="s">
        <v>487</v>
      </c>
      <c r="D48" s="87">
        <v>2</v>
      </c>
      <c r="E48" s="19" t="s">
        <v>433</v>
      </c>
      <c r="G48" s="88">
        <f>ROUND(G46*D48/100,0)</f>
        <v>10125</v>
      </c>
    </row>
    <row r="49" spans="1:255" x14ac:dyDescent="0.2">
      <c r="C49" s="75" t="s">
        <v>157</v>
      </c>
      <c r="G49" s="76">
        <f>ROUND(SUM(G46:G48),0)</f>
        <v>516361</v>
      </c>
    </row>
    <row r="51" spans="1:255" x14ac:dyDescent="0.2">
      <c r="A51" s="64" t="s">
        <v>440</v>
      </c>
      <c r="B51" s="64"/>
      <c r="C51" s="89" t="s">
        <v>441</v>
      </c>
      <c r="D51" s="65"/>
      <c r="E51" s="65"/>
      <c r="F51" s="156" t="s">
        <v>442</v>
      </c>
      <c r="G51" s="156"/>
      <c r="BY51" s="66" t="str">
        <f>C51</f>
        <v>инженер по проектно-сметной работе ОПР</v>
      </c>
      <c r="BZ51" s="66" t="str">
        <f>F51</f>
        <v>Тиманькова А.А.</v>
      </c>
      <c r="IU51" s="23"/>
    </row>
    <row r="52" spans="1:255" s="91" customFormat="1" ht="11.25" x14ac:dyDescent="0.2">
      <c r="A52" s="90"/>
      <c r="B52" s="90"/>
      <c r="C52" s="150" t="s">
        <v>436</v>
      </c>
      <c r="D52" s="150"/>
      <c r="E52" s="150"/>
      <c r="F52" s="150" t="s">
        <v>437</v>
      </c>
      <c r="G52" s="150"/>
    </row>
    <row r="53" spans="1:255" x14ac:dyDescent="0.2">
      <c r="A53" s="18"/>
      <c r="B53" s="18"/>
      <c r="C53" s="18"/>
      <c r="D53" s="11" t="s">
        <v>438</v>
      </c>
      <c r="E53" s="18"/>
      <c r="F53" s="18"/>
      <c r="G53" s="18"/>
    </row>
    <row r="54" spans="1:255" x14ac:dyDescent="0.2">
      <c r="A54" s="64" t="s">
        <v>443</v>
      </c>
      <c r="B54" s="64"/>
      <c r="C54" s="89" t="s">
        <v>444</v>
      </c>
      <c r="D54" s="65"/>
      <c r="E54" s="65"/>
      <c r="F54" s="156" t="s">
        <v>445</v>
      </c>
      <c r="G54" s="156"/>
      <c r="BY54" s="66" t="str">
        <f>C54</f>
        <v>зам. главного инженера - начальник ОПР</v>
      </c>
      <c r="BZ54" s="66" t="str">
        <f>F54</f>
        <v>Захаров В.В.</v>
      </c>
      <c r="IU54" s="23"/>
    </row>
    <row r="55" spans="1:255" s="91" customFormat="1" ht="11.25" x14ac:dyDescent="0.2">
      <c r="A55" s="90"/>
      <c r="B55" s="90"/>
      <c r="C55" s="150" t="s">
        <v>436</v>
      </c>
      <c r="D55" s="150"/>
      <c r="E55" s="150"/>
      <c r="F55" s="150" t="s">
        <v>437</v>
      </c>
      <c r="G55" s="150"/>
    </row>
    <row r="56" spans="1:255" x14ac:dyDescent="0.2">
      <c r="A56" s="18"/>
      <c r="B56" s="18"/>
      <c r="C56" s="18"/>
      <c r="D56" s="11" t="s">
        <v>438</v>
      </c>
      <c r="E56" s="18"/>
      <c r="F56" s="18"/>
      <c r="G56" s="18"/>
    </row>
    <row r="58" spans="1:255" x14ac:dyDescent="0.2">
      <c r="A58" s="29"/>
      <c r="B58" s="29"/>
    </row>
  </sheetData>
  <sortState ref="A37:IU43">
    <sortCondition ref="C37"/>
    <sortCondition ref="D37"/>
  </sortState>
  <mergeCells count="19">
    <mergeCell ref="C6:G6"/>
    <mergeCell ref="A1:G1"/>
    <mergeCell ref="A2:G2"/>
    <mergeCell ref="C3:G3"/>
    <mergeCell ref="C4:G4"/>
    <mergeCell ref="C5:G5"/>
    <mergeCell ref="C55:E55"/>
    <mergeCell ref="F55:G55"/>
    <mergeCell ref="A8:G8"/>
    <mergeCell ref="A9:G9"/>
    <mergeCell ref="A10:G10"/>
    <mergeCell ref="A11:G11"/>
    <mergeCell ref="A12:G12"/>
    <mergeCell ref="B13:G13"/>
    <mergeCell ref="A14:G14"/>
    <mergeCell ref="F51:G51"/>
    <mergeCell ref="C52:E52"/>
    <mergeCell ref="F52:G52"/>
    <mergeCell ref="F54:G54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63"/>
  <sheetViews>
    <sheetView tabSelected="1" zoomScaleNormal="100" workbookViewId="0">
      <selection activeCell="C30" sqref="C30:M30"/>
    </sheetView>
  </sheetViews>
  <sheetFormatPr defaultRowHeight="12.75" outlineLevelRow="1" x14ac:dyDescent="0.2"/>
  <cols>
    <col min="1" max="1" width="5.7109375" customWidth="1"/>
    <col min="2" max="2" width="16.7109375" customWidth="1"/>
    <col min="3" max="3" width="42.7109375" customWidth="1"/>
    <col min="4" max="4" width="10.7109375" customWidth="1"/>
    <col min="5" max="5" width="7.7109375" customWidth="1"/>
    <col min="6" max="6" width="11.7109375" customWidth="1"/>
    <col min="7" max="9" width="10.7109375" customWidth="1"/>
    <col min="10" max="10" width="11.7109375" customWidth="1"/>
    <col min="11" max="13" width="10.7109375" customWidth="1"/>
    <col min="25" max="69" width="0" hidden="1" customWidth="1"/>
    <col min="70" max="71" width="101.7109375" hidden="1" customWidth="1"/>
    <col min="72" max="72" width="142.7109375" hidden="1" customWidth="1"/>
    <col min="73" max="74" width="163.7109375" hidden="1" customWidth="1"/>
    <col min="75" max="75" width="21.7109375" hidden="1" customWidth="1"/>
    <col min="76" max="76" width="0" hidden="1" customWidth="1"/>
    <col min="77" max="77" width="71.7109375" hidden="1" customWidth="1"/>
    <col min="78" max="78" width="22.7109375" hidden="1" customWidth="1"/>
    <col min="79" max="256" width="0" hidden="1" customWidth="1"/>
  </cols>
  <sheetData>
    <row r="1" spans="1:255" s="15" customFormat="1" ht="11.25" x14ac:dyDescent="0.2">
      <c r="A1" s="15" t="s">
        <v>340</v>
      </c>
    </row>
    <row r="2" spans="1:255" hidden="1" outlineLevel="1" x14ac:dyDescent="0.2">
      <c r="J2" s="203" t="s">
        <v>341</v>
      </c>
      <c r="K2" s="203"/>
      <c r="L2" s="203"/>
      <c r="M2" s="203"/>
    </row>
    <row r="3" spans="1:255" hidden="1" outlineLevel="1" x14ac:dyDescent="0.2">
      <c r="J3" s="203" t="s">
        <v>342</v>
      </c>
      <c r="K3" s="203"/>
      <c r="L3" s="203"/>
      <c r="M3" s="203"/>
    </row>
    <row r="4" spans="1:255" hidden="1" outlineLevel="1" x14ac:dyDescent="0.2">
      <c r="J4" s="203" t="s">
        <v>343</v>
      </c>
      <c r="K4" s="203"/>
      <c r="L4" s="203"/>
      <c r="M4" s="203"/>
    </row>
    <row r="5" spans="1:255" s="14" customFormat="1" ht="11.25" hidden="1" outlineLevel="1" x14ac:dyDescent="0.2">
      <c r="L5" s="204" t="s">
        <v>344</v>
      </c>
      <c r="M5" s="200"/>
    </row>
    <row r="6" spans="1:255" s="16" customFormat="1" ht="9.75" hidden="1" outlineLevel="1" x14ac:dyDescent="0.2">
      <c r="K6" s="17" t="s">
        <v>345</v>
      </c>
      <c r="L6" s="205" t="s">
        <v>346</v>
      </c>
      <c r="M6" s="206"/>
    </row>
    <row r="7" spans="1:255" hidden="1" outlineLevel="1" x14ac:dyDescent="0.2">
      <c r="A7" s="21" t="s">
        <v>347</v>
      </c>
      <c r="B7" s="19"/>
      <c r="C7" s="161"/>
      <c r="D7" s="162"/>
      <c r="E7" s="162"/>
      <c r="F7" s="162"/>
      <c r="G7" s="162"/>
      <c r="H7" s="162"/>
      <c r="I7" s="162"/>
      <c r="K7" s="17" t="s">
        <v>348</v>
      </c>
      <c r="L7" s="199"/>
      <c r="M7" s="202"/>
      <c r="BR7" s="22">
        <f>C7</f>
        <v>0</v>
      </c>
      <c r="IU7" s="23"/>
    </row>
    <row r="8" spans="1:255" hidden="1" outlineLevel="1" x14ac:dyDescent="0.2">
      <c r="A8" s="21" t="s">
        <v>349</v>
      </c>
      <c r="B8" s="19"/>
      <c r="C8" s="163"/>
      <c r="D8" s="164"/>
      <c r="E8" s="164"/>
      <c r="F8" s="164"/>
      <c r="G8" s="164"/>
      <c r="H8" s="164"/>
      <c r="I8" s="164"/>
      <c r="K8" s="17" t="s">
        <v>348</v>
      </c>
      <c r="L8" s="199"/>
      <c r="M8" s="202"/>
      <c r="BR8" s="22">
        <f>C8</f>
        <v>0</v>
      </c>
      <c r="IU8" s="23"/>
    </row>
    <row r="9" spans="1:255" hidden="1" outlineLevel="1" x14ac:dyDescent="0.2">
      <c r="A9" s="21" t="s">
        <v>350</v>
      </c>
      <c r="B9" s="19"/>
      <c r="C9" s="163"/>
      <c r="D9" s="164"/>
      <c r="E9" s="164"/>
      <c r="F9" s="164"/>
      <c r="G9" s="164"/>
      <c r="H9" s="164"/>
      <c r="I9" s="164"/>
      <c r="K9" s="17" t="s">
        <v>348</v>
      </c>
      <c r="L9" s="199"/>
      <c r="M9" s="202"/>
      <c r="BR9" s="22">
        <f>C9</f>
        <v>0</v>
      </c>
      <c r="IU9" s="23"/>
    </row>
    <row r="10" spans="1:255" hidden="1" outlineLevel="1" x14ac:dyDescent="0.2">
      <c r="A10" s="21" t="s">
        <v>351</v>
      </c>
      <c r="B10" s="19"/>
      <c r="C10" s="163"/>
      <c r="D10" s="164"/>
      <c r="E10" s="164"/>
      <c r="F10" s="164"/>
      <c r="G10" s="164"/>
      <c r="H10" s="164"/>
      <c r="I10" s="164"/>
      <c r="K10" s="17" t="s">
        <v>348</v>
      </c>
      <c r="L10" s="199"/>
      <c r="M10" s="202"/>
      <c r="BR10" s="22">
        <f>C10</f>
        <v>0</v>
      </c>
      <c r="IU10" s="23"/>
    </row>
    <row r="11" spans="1:255" hidden="1" outlineLevel="1" x14ac:dyDescent="0.2">
      <c r="A11" s="21" t="s">
        <v>352</v>
      </c>
      <c r="C11" s="198"/>
      <c r="D11" s="164"/>
      <c r="E11" s="164"/>
      <c r="F11" s="164"/>
      <c r="G11" s="164"/>
      <c r="H11" s="164"/>
      <c r="I11" s="164"/>
      <c r="J11" s="14"/>
      <c r="K11" s="14"/>
      <c r="L11" s="199"/>
      <c r="M11" s="200"/>
      <c r="BS11" s="25">
        <f>C11</f>
        <v>0</v>
      </c>
      <c r="IU11" s="23"/>
    </row>
    <row r="12" spans="1:255" hidden="1" outlineLevel="1" x14ac:dyDescent="0.2">
      <c r="A12" s="21" t="s">
        <v>353</v>
      </c>
      <c r="C12" s="198"/>
      <c r="D12" s="164"/>
      <c r="E12" s="164"/>
      <c r="F12" s="164"/>
      <c r="G12" s="164"/>
      <c r="H12" s="164"/>
      <c r="I12" s="164"/>
      <c r="J12" s="14"/>
      <c r="K12" s="14"/>
      <c r="L12" s="199"/>
      <c r="M12" s="200"/>
      <c r="BS12" s="25">
        <f>C12</f>
        <v>0</v>
      </c>
      <c r="IU12" s="23"/>
    </row>
    <row r="13" spans="1:255" hidden="1" outlineLevel="1" x14ac:dyDescent="0.2">
      <c r="A13" s="21" t="s">
        <v>354</v>
      </c>
      <c r="C13" s="201"/>
      <c r="D13" s="158"/>
      <c r="E13" s="158"/>
      <c r="F13" s="158"/>
      <c r="G13" s="158"/>
      <c r="H13" s="158"/>
      <c r="I13" s="158"/>
      <c r="K13" s="17" t="s">
        <v>355</v>
      </c>
      <c r="L13" s="199"/>
      <c r="M13" s="200"/>
      <c r="BS13" s="25">
        <f>C13</f>
        <v>0</v>
      </c>
      <c r="IU13" s="23"/>
    </row>
    <row r="14" spans="1:255" hidden="1" outlineLevel="1" x14ac:dyDescent="0.2">
      <c r="I14" s="182" t="s">
        <v>356</v>
      </c>
      <c r="J14" s="182"/>
      <c r="K14" s="26" t="s">
        <v>357</v>
      </c>
      <c r="L14" s="183"/>
      <c r="M14" s="184"/>
      <c r="BW14" s="28">
        <f>L14</f>
        <v>0</v>
      </c>
      <c r="IU14" s="23"/>
    </row>
    <row r="15" spans="1:255" hidden="1" outlineLevel="1" x14ac:dyDescent="0.2">
      <c r="K15" s="27" t="s">
        <v>358</v>
      </c>
      <c r="L15" s="185"/>
      <c r="M15" s="186"/>
    </row>
    <row r="16" spans="1:255" s="16" customFormat="1" hidden="1" outlineLevel="1" x14ac:dyDescent="0.2">
      <c r="K16" s="17" t="s">
        <v>359</v>
      </c>
      <c r="L16" s="187"/>
      <c r="M16" s="188"/>
    </row>
    <row r="17" spans="1:255" hidden="1" outlineLevel="1" x14ac:dyDescent="0.2"/>
    <row r="18" spans="1:255" hidden="1" outlineLevel="1" x14ac:dyDescent="0.2">
      <c r="I18" s="189" t="s">
        <v>360</v>
      </c>
      <c r="J18" s="189" t="s">
        <v>361</v>
      </c>
      <c r="K18" s="189" t="s">
        <v>362</v>
      </c>
      <c r="L18" s="191"/>
    </row>
    <row r="19" spans="1:255" ht="13.5" hidden="1" outlineLevel="1" thickBot="1" x14ac:dyDescent="0.25">
      <c r="I19" s="190"/>
      <c r="J19" s="190"/>
      <c r="K19" s="30" t="s">
        <v>363</v>
      </c>
      <c r="L19" s="31" t="s">
        <v>364</v>
      </c>
    </row>
    <row r="20" spans="1:255" ht="14.25" hidden="1" outlineLevel="1" thickBot="1" x14ac:dyDescent="0.3">
      <c r="C20" s="192" t="s">
        <v>365</v>
      </c>
      <c r="D20" s="151"/>
      <c r="E20" s="151"/>
      <c r="F20" s="151"/>
      <c r="G20" s="151"/>
      <c r="H20" s="193"/>
      <c r="I20" s="32"/>
      <c r="J20" s="33"/>
      <c r="K20" s="34"/>
      <c r="L20" s="35"/>
      <c r="M20" s="36"/>
    </row>
    <row r="21" spans="1:255" ht="13.5" hidden="1" outlineLevel="1" x14ac:dyDescent="0.25">
      <c r="C21" s="192" t="s">
        <v>366</v>
      </c>
      <c r="D21" s="151"/>
      <c r="E21" s="151"/>
      <c r="F21" s="151"/>
      <c r="G21" s="151"/>
      <c r="H21" s="151"/>
    </row>
    <row r="22" spans="1:255" hidden="1" outlineLevel="1" x14ac:dyDescent="0.2">
      <c r="A22" s="153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255" hidden="1" outlineLevel="1" x14ac:dyDescent="0.2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37">
        <f>A23</f>
        <v>0</v>
      </c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hidden="1" outlineLevel="1" x14ac:dyDescent="0.2">
      <c r="A24" s="16" t="s">
        <v>367</v>
      </c>
    </row>
    <row r="25" spans="1:255" hidden="1" outlineLevel="1" x14ac:dyDescent="0.2">
      <c r="A25" s="16" t="s">
        <v>368</v>
      </c>
    </row>
    <row r="26" spans="1:255" hidden="1" outlineLevel="1" x14ac:dyDescent="0.2">
      <c r="A26" s="16" t="s">
        <v>369</v>
      </c>
      <c r="B26" s="16"/>
      <c r="C26" s="16"/>
      <c r="D26" s="16"/>
      <c r="E26" s="196">
        <f>J143/1000</f>
        <v>982.31640000000004</v>
      </c>
      <c r="F26" s="197"/>
      <c r="G26" s="16" t="s">
        <v>370</v>
      </c>
      <c r="H26" s="16"/>
      <c r="I26" s="16"/>
      <c r="J26" s="16"/>
      <c r="K26" s="16"/>
      <c r="L26" s="16"/>
      <c r="M26" s="16"/>
    </row>
    <row r="27" spans="1:255" collapsed="1" x14ac:dyDescent="0.2"/>
    <row r="28" spans="1:255" hidden="1" outlineLevel="1" x14ac:dyDescent="0.2">
      <c r="M28" s="38"/>
    </row>
    <row r="29" spans="1:255" outlineLevel="1" x14ac:dyDescent="0.2"/>
    <row r="30" spans="1:255" outlineLevel="1" x14ac:dyDescent="0.2">
      <c r="A30" s="21" t="s">
        <v>352</v>
      </c>
      <c r="C30" s="207" t="s">
        <v>488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BT30" s="40" t="str">
        <f>C30</f>
        <v>Фасады стен здания литер Б, Б1, Б2 (Диспетчерская) г. Орел, пл. Поликарпова,8</v>
      </c>
      <c r="IU30" s="23"/>
    </row>
    <row r="31" spans="1:255" outlineLevel="1" x14ac:dyDescent="0.2">
      <c r="A31" s="21" t="s">
        <v>353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BT31" s="40">
        <f>C31</f>
        <v>0</v>
      </c>
      <c r="IU31" s="23"/>
    </row>
    <row r="32" spans="1:255" outlineLevel="1" x14ac:dyDescent="0.2">
      <c r="A32" s="21" t="s">
        <v>371</v>
      </c>
      <c r="C32" s="178" t="s">
        <v>372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BT32" s="41" t="str">
        <f>C32</f>
        <v xml:space="preserve"> </v>
      </c>
      <c r="IU32" s="23"/>
    </row>
    <row r="33" spans="1:255" outlineLevel="1" x14ac:dyDescent="0.2"/>
    <row r="34" spans="1:255" ht="18.75" outlineLevel="1" x14ac:dyDescent="0.3">
      <c r="A34" s="179" t="s">
        <v>373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</row>
    <row r="35" spans="1:255" hidden="1" outlineLevel="1" x14ac:dyDescent="0.2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Y35" s="23">
        <v>3</v>
      </c>
      <c r="Z35" s="23" t="s">
        <v>374</v>
      </c>
      <c r="AA35" s="23"/>
      <c r="AB35" s="23" t="s">
        <v>375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37">
        <f>A35</f>
        <v>0</v>
      </c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outlineLevel="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37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255" outlineLevel="1" x14ac:dyDescent="0.2">
      <c r="A37" s="93" t="s">
        <v>376</v>
      </c>
      <c r="B37" s="94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BT37" s="40">
        <f>C37</f>
        <v>0</v>
      </c>
      <c r="IU37" s="23"/>
    </row>
    <row r="38" spans="1:255" hidden="1" outlineLevel="1" x14ac:dyDescent="0.2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255" outlineLevel="1" x14ac:dyDescent="0.2">
      <c r="A39" s="95" t="s">
        <v>377</v>
      </c>
      <c r="B39" s="94"/>
      <c r="C39" s="94"/>
      <c r="D39" s="94"/>
      <c r="E39" s="94"/>
      <c r="F39" s="94"/>
      <c r="G39" s="94"/>
      <c r="H39" s="94"/>
      <c r="I39" s="96" t="s">
        <v>378</v>
      </c>
      <c r="J39" s="94"/>
      <c r="K39" s="97"/>
      <c r="L39" s="97">
        <f>I126/1000</f>
        <v>120.73699999999999</v>
      </c>
      <c r="M39" s="95" t="s">
        <v>379</v>
      </c>
    </row>
    <row r="40" spans="1:255" outlineLevel="1" x14ac:dyDescent="0.2">
      <c r="A40" s="95" t="s">
        <v>368</v>
      </c>
      <c r="B40" s="94"/>
      <c r="C40" s="94"/>
      <c r="D40" s="94"/>
      <c r="E40" s="94"/>
      <c r="F40" s="94"/>
      <c r="G40" s="94"/>
      <c r="H40" s="94"/>
      <c r="I40" s="96" t="s">
        <v>380</v>
      </c>
      <c r="J40" s="94"/>
      <c r="K40" s="97"/>
      <c r="L40" s="97">
        <f>CW121</f>
        <v>1775.4655209999999</v>
      </c>
      <c r="M40" s="95" t="s">
        <v>381</v>
      </c>
    </row>
    <row r="41" spans="1:255" ht="13.5" outlineLevel="1" thickBot="1" x14ac:dyDescent="0.25">
      <c r="A41" s="94"/>
      <c r="B41" s="94"/>
      <c r="C41" s="94"/>
      <c r="D41" s="94"/>
      <c r="E41" s="94"/>
      <c r="F41" s="94"/>
      <c r="G41" s="94"/>
      <c r="H41" s="94"/>
      <c r="I41" s="96" t="s">
        <v>382</v>
      </c>
      <c r="J41" s="94"/>
      <c r="K41" s="97"/>
      <c r="L41" s="97">
        <f>(CZ121+DB121)/1000</f>
        <v>17.544</v>
      </c>
      <c r="M41" s="95" t="s">
        <v>379</v>
      </c>
    </row>
    <row r="42" spans="1:255" ht="13.5" thickBot="1" x14ac:dyDescent="0.25">
      <c r="A42" s="98" t="s">
        <v>383</v>
      </c>
      <c r="B42" s="99" t="s">
        <v>384</v>
      </c>
      <c r="C42" s="99"/>
      <c r="D42" s="99" t="s">
        <v>387</v>
      </c>
      <c r="E42" s="99" t="s">
        <v>390</v>
      </c>
      <c r="F42" s="170" t="s">
        <v>392</v>
      </c>
      <c r="G42" s="171"/>
      <c r="H42" s="171"/>
      <c r="I42" s="171"/>
      <c r="J42" s="170" t="s">
        <v>398</v>
      </c>
      <c r="K42" s="171"/>
      <c r="L42" s="171"/>
      <c r="M42" s="172"/>
    </row>
    <row r="43" spans="1:255" ht="13.5" thickBot="1" x14ac:dyDescent="0.25">
      <c r="A43" s="100"/>
      <c r="B43" s="101" t="s">
        <v>385</v>
      </c>
      <c r="C43" s="101" t="s">
        <v>386</v>
      </c>
      <c r="D43" s="101" t="s">
        <v>388</v>
      </c>
      <c r="E43" s="101" t="s">
        <v>391</v>
      </c>
      <c r="F43" s="99"/>
      <c r="G43" s="170" t="s">
        <v>393</v>
      </c>
      <c r="H43" s="171"/>
      <c r="I43" s="171"/>
      <c r="J43" s="99"/>
      <c r="K43" s="170" t="s">
        <v>393</v>
      </c>
      <c r="L43" s="171"/>
      <c r="M43" s="172"/>
    </row>
    <row r="44" spans="1:255" x14ac:dyDescent="0.2">
      <c r="A44" s="100"/>
      <c r="B44" s="101"/>
      <c r="C44" s="101"/>
      <c r="D44" s="101" t="s">
        <v>389</v>
      </c>
      <c r="E44" s="101"/>
      <c r="F44" s="101" t="s">
        <v>157</v>
      </c>
      <c r="G44" s="99" t="s">
        <v>133</v>
      </c>
      <c r="H44" s="99" t="s">
        <v>394</v>
      </c>
      <c r="I44" s="99" t="s">
        <v>396</v>
      </c>
      <c r="J44" s="101" t="s">
        <v>157</v>
      </c>
      <c r="K44" s="99" t="s">
        <v>133</v>
      </c>
      <c r="L44" s="99" t="s">
        <v>394</v>
      </c>
      <c r="M44" s="102" t="s">
        <v>396</v>
      </c>
    </row>
    <row r="45" spans="1:255" ht="13.5" thickBot="1" x14ac:dyDescent="0.25">
      <c r="A45" s="100"/>
      <c r="B45" s="101"/>
      <c r="C45" s="101"/>
      <c r="D45" s="101"/>
      <c r="E45" s="101"/>
      <c r="F45" s="101"/>
      <c r="G45" s="101" t="s">
        <v>372</v>
      </c>
      <c r="H45" s="101" t="s">
        <v>395</v>
      </c>
      <c r="I45" s="101" t="s">
        <v>397</v>
      </c>
      <c r="J45" s="101"/>
      <c r="K45" s="101" t="s">
        <v>372</v>
      </c>
      <c r="L45" s="101" t="s">
        <v>395</v>
      </c>
      <c r="M45" s="103" t="s">
        <v>397</v>
      </c>
    </row>
    <row r="46" spans="1:255" ht="13.5" thickBot="1" x14ac:dyDescent="0.25">
      <c r="A46" s="104">
        <v>1</v>
      </c>
      <c r="B46" s="104">
        <v>2</v>
      </c>
      <c r="C46" s="104">
        <v>3</v>
      </c>
      <c r="D46" s="104">
        <v>4</v>
      </c>
      <c r="E46" s="104">
        <v>5</v>
      </c>
      <c r="F46" s="104">
        <v>6</v>
      </c>
      <c r="G46" s="104">
        <v>7</v>
      </c>
      <c r="H46" s="104">
        <v>8</v>
      </c>
      <c r="I46" s="104">
        <v>9</v>
      </c>
      <c r="J46" s="104">
        <v>10</v>
      </c>
      <c r="K46" s="104">
        <v>11</v>
      </c>
      <c r="L46" s="104">
        <v>12</v>
      </c>
      <c r="M46" s="104">
        <v>13</v>
      </c>
    </row>
    <row r="47" spans="1:255" ht="36" x14ac:dyDescent="0.2">
      <c r="A47" s="105">
        <v>1</v>
      </c>
      <c r="B47" s="106" t="s">
        <v>13</v>
      </c>
      <c r="C47" s="107" t="s">
        <v>14</v>
      </c>
      <c r="D47" s="108" t="s">
        <v>15</v>
      </c>
      <c r="E47" s="109">
        <v>2.6133999999999999</v>
      </c>
      <c r="F47" s="110">
        <f>Source!AC24+Source!AD24+Source!AF24</f>
        <v>500.18999999999994</v>
      </c>
      <c r="G47" s="110">
        <v>375.84</v>
      </c>
      <c r="H47" s="110">
        <v>4.5999999999999996</v>
      </c>
      <c r="I47" s="110">
        <v>0.81</v>
      </c>
      <c r="J47" s="111">
        <f>Source!O24</f>
        <v>1307</v>
      </c>
      <c r="K47" s="111">
        <f>Source!S24</f>
        <v>982</v>
      </c>
      <c r="L47" s="111">
        <f>Source!Q24</f>
        <v>12</v>
      </c>
      <c r="M47" s="112">
        <f>Source!R24</f>
        <v>2</v>
      </c>
    </row>
    <row r="48" spans="1:255" x14ac:dyDescent="0.2">
      <c r="A48" s="113"/>
      <c r="B48" s="114"/>
      <c r="C48" s="115" t="s">
        <v>399</v>
      </c>
      <c r="D48" s="114"/>
      <c r="E48" s="116">
        <v>122</v>
      </c>
      <c r="F48" s="117" t="s">
        <v>400</v>
      </c>
      <c r="G48" s="114"/>
      <c r="H48" s="114"/>
      <c r="I48" s="114"/>
      <c r="J48" s="118">
        <f>Source!X24</f>
        <v>1200</v>
      </c>
      <c r="K48" s="114"/>
      <c r="L48" s="114"/>
      <c r="M48" s="119"/>
    </row>
    <row r="49" spans="1:13" x14ac:dyDescent="0.2">
      <c r="A49" s="120"/>
      <c r="B49" s="121"/>
      <c r="C49" s="122" t="s">
        <v>401</v>
      </c>
      <c r="D49" s="121"/>
      <c r="E49" s="123">
        <v>80</v>
      </c>
      <c r="F49" s="124" t="s">
        <v>400</v>
      </c>
      <c r="G49" s="121"/>
      <c r="H49" s="121"/>
      <c r="I49" s="121"/>
      <c r="J49" s="125">
        <f>Source!Y24</f>
        <v>787</v>
      </c>
      <c r="K49" s="121"/>
      <c r="L49" s="121"/>
      <c r="M49" s="126"/>
    </row>
    <row r="50" spans="1:13" x14ac:dyDescent="0.2">
      <c r="A50" s="127"/>
      <c r="B50" s="128"/>
      <c r="C50" s="129" t="s">
        <v>402</v>
      </c>
      <c r="D50" s="128"/>
      <c r="E50" s="130"/>
      <c r="F50" s="131"/>
      <c r="G50" s="128"/>
      <c r="H50" s="128"/>
      <c r="I50" s="128"/>
      <c r="J50" s="132">
        <f>J47+J48+J49</f>
        <v>3294</v>
      </c>
      <c r="K50" s="128"/>
      <c r="L50" s="128"/>
      <c r="M50" s="133"/>
    </row>
    <row r="51" spans="1:13" x14ac:dyDescent="0.2">
      <c r="A51" s="120"/>
      <c r="B51" s="122" t="str">
        <f>IF(Source!I24=2.6134," Расчет объема","")</f>
        <v xml:space="preserve"> Расчет объема</v>
      </c>
      <c r="C51" s="122" t="str">
        <f>IF(Source!I24=2.6134,"   261,34/100 = 2,6134","")</f>
        <v xml:space="preserve">   261,34/100 = 2,6134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6"/>
    </row>
    <row r="52" spans="1:13" ht="48" x14ac:dyDescent="0.2">
      <c r="A52" s="134">
        <v>2</v>
      </c>
      <c r="B52" s="135" t="s">
        <v>21</v>
      </c>
      <c r="C52" s="136" t="s">
        <v>22</v>
      </c>
      <c r="D52" s="137" t="s">
        <v>15</v>
      </c>
      <c r="E52" s="138">
        <v>0.70609999999999995</v>
      </c>
      <c r="F52" s="139">
        <f>Source!AC26+Source!AD26+Source!AF26</f>
        <v>5170.4799999999996</v>
      </c>
      <c r="G52" s="139">
        <v>2888.52</v>
      </c>
      <c r="H52" s="139">
        <v>2.31</v>
      </c>
      <c r="I52" s="139">
        <v>0</v>
      </c>
      <c r="J52" s="140">
        <f>Source!O26</f>
        <v>3652</v>
      </c>
      <c r="K52" s="140">
        <f>Source!S26</f>
        <v>2040</v>
      </c>
      <c r="L52" s="140">
        <f>Source!Q26</f>
        <v>2</v>
      </c>
      <c r="M52" s="141">
        <f>Source!R26</f>
        <v>0</v>
      </c>
    </row>
    <row r="53" spans="1:13" x14ac:dyDescent="0.2">
      <c r="A53" s="113"/>
      <c r="B53" s="114"/>
      <c r="C53" s="115" t="s">
        <v>399</v>
      </c>
      <c r="D53" s="114"/>
      <c r="E53" s="116">
        <v>79</v>
      </c>
      <c r="F53" s="117" t="s">
        <v>400</v>
      </c>
      <c r="G53" s="114"/>
      <c r="H53" s="114"/>
      <c r="I53" s="114"/>
      <c r="J53" s="118">
        <f>Source!X26</f>
        <v>1612</v>
      </c>
      <c r="K53" s="114"/>
      <c r="L53" s="114"/>
      <c r="M53" s="119"/>
    </row>
    <row r="54" spans="1:13" x14ac:dyDescent="0.2">
      <c r="A54" s="120"/>
      <c r="B54" s="121"/>
      <c r="C54" s="122" t="s">
        <v>401</v>
      </c>
      <c r="D54" s="121"/>
      <c r="E54" s="123">
        <v>50</v>
      </c>
      <c r="F54" s="124" t="s">
        <v>400</v>
      </c>
      <c r="G54" s="121"/>
      <c r="H54" s="121"/>
      <c r="I54" s="121"/>
      <c r="J54" s="125">
        <f>Source!Y26</f>
        <v>1020</v>
      </c>
      <c r="K54" s="121"/>
      <c r="L54" s="121"/>
      <c r="M54" s="126"/>
    </row>
    <row r="55" spans="1:13" x14ac:dyDescent="0.2">
      <c r="A55" s="127"/>
      <c r="B55" s="128"/>
      <c r="C55" s="129" t="s">
        <v>402</v>
      </c>
      <c r="D55" s="128"/>
      <c r="E55" s="130"/>
      <c r="F55" s="131"/>
      <c r="G55" s="128"/>
      <c r="H55" s="128"/>
      <c r="I55" s="128"/>
      <c r="J55" s="132">
        <f>J52+J53+J54</f>
        <v>6284</v>
      </c>
      <c r="K55" s="128"/>
      <c r="L55" s="128"/>
      <c r="M55" s="133"/>
    </row>
    <row r="56" spans="1:13" x14ac:dyDescent="0.2">
      <c r="A56" s="120"/>
      <c r="B56" s="122" t="str">
        <f>IF(Source!I26=0.7061," Расчет объема","")</f>
        <v xml:space="preserve"> Расчет объема</v>
      </c>
      <c r="C56" s="122" t="str">
        <f>IF(Source!I26=0.7061,"   70,61/100 = 0,7061","")</f>
        <v xml:space="preserve">   70,61/100 = 0,7061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6"/>
    </row>
    <row r="57" spans="1:13" ht="36.75" customHeight="1" x14ac:dyDescent="0.2">
      <c r="A57" s="134">
        <v>3</v>
      </c>
      <c r="B57" s="135" t="s">
        <v>28</v>
      </c>
      <c r="C57" s="136" t="s">
        <v>29</v>
      </c>
      <c r="D57" s="137" t="s">
        <v>15</v>
      </c>
      <c r="E57" s="138">
        <v>0.47070000000000001</v>
      </c>
      <c r="F57" s="139">
        <f>Source!AC28+Source!AD28+Source!AF28</f>
        <v>1004.2800000000001</v>
      </c>
      <c r="G57" s="139">
        <v>434</v>
      </c>
      <c r="H57" s="139">
        <v>0.57999999999999996</v>
      </c>
      <c r="I57" s="139">
        <v>0</v>
      </c>
      <c r="J57" s="140">
        <f>Source!O28</f>
        <v>472</v>
      </c>
      <c r="K57" s="140">
        <f>Source!S28</f>
        <v>204</v>
      </c>
      <c r="L57" s="140">
        <f>Source!Q28</f>
        <v>0</v>
      </c>
      <c r="M57" s="141">
        <f>Source!R28</f>
        <v>0</v>
      </c>
    </row>
    <row r="58" spans="1:13" x14ac:dyDescent="0.2">
      <c r="A58" s="113"/>
      <c r="B58" s="114"/>
      <c r="C58" s="115" t="s">
        <v>399</v>
      </c>
      <c r="D58" s="114"/>
      <c r="E58" s="116">
        <v>79</v>
      </c>
      <c r="F58" s="117" t="s">
        <v>400</v>
      </c>
      <c r="G58" s="114"/>
      <c r="H58" s="114"/>
      <c r="I58" s="114"/>
      <c r="J58" s="118">
        <f>Source!X28</f>
        <v>161</v>
      </c>
      <c r="K58" s="114"/>
      <c r="L58" s="114"/>
      <c r="M58" s="119"/>
    </row>
    <row r="59" spans="1:13" x14ac:dyDescent="0.2">
      <c r="A59" s="120"/>
      <c r="B59" s="121"/>
      <c r="C59" s="122" t="s">
        <v>401</v>
      </c>
      <c r="D59" s="121"/>
      <c r="E59" s="123">
        <v>50</v>
      </c>
      <c r="F59" s="124" t="s">
        <v>400</v>
      </c>
      <c r="G59" s="121"/>
      <c r="H59" s="121"/>
      <c r="I59" s="121"/>
      <c r="J59" s="125">
        <f>Source!Y28</f>
        <v>102</v>
      </c>
      <c r="K59" s="121"/>
      <c r="L59" s="121"/>
      <c r="M59" s="126"/>
    </row>
    <row r="60" spans="1:13" x14ac:dyDescent="0.2">
      <c r="A60" s="127"/>
      <c r="B60" s="128"/>
      <c r="C60" s="129" t="s">
        <v>402</v>
      </c>
      <c r="D60" s="128"/>
      <c r="E60" s="130"/>
      <c r="F60" s="131"/>
      <c r="G60" s="128"/>
      <c r="H60" s="128"/>
      <c r="I60" s="128"/>
      <c r="J60" s="132">
        <f>J57+J58+J59</f>
        <v>735</v>
      </c>
      <c r="K60" s="128"/>
      <c r="L60" s="128"/>
      <c r="M60" s="133"/>
    </row>
    <row r="61" spans="1:13" x14ac:dyDescent="0.2">
      <c r="A61" s="120"/>
      <c r="B61" s="122" t="str">
        <f>IF(Source!I28=0.4707," Расчет объема","")</f>
        <v xml:space="preserve"> Расчет объема</v>
      </c>
      <c r="C61" s="122" t="str">
        <f>IF(Source!I28=0.4707,"   47,07/100 = 0,4707","")</f>
        <v xml:space="preserve">   47,07/100 = 0,4707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6"/>
    </row>
    <row r="62" spans="1:13" ht="36" x14ac:dyDescent="0.2">
      <c r="A62" s="134">
        <v>4</v>
      </c>
      <c r="B62" s="135" t="s">
        <v>32</v>
      </c>
      <c r="C62" s="136" t="s">
        <v>33</v>
      </c>
      <c r="D62" s="137" t="s">
        <v>15</v>
      </c>
      <c r="E62" s="138">
        <v>0.51949999999999996</v>
      </c>
      <c r="F62" s="139">
        <f>Source!AC30+Source!AD30+Source!AF30</f>
        <v>5286.35</v>
      </c>
      <c r="G62" s="139">
        <v>3004.39</v>
      </c>
      <c r="H62" s="139">
        <v>2.31</v>
      </c>
      <c r="I62" s="139">
        <v>0</v>
      </c>
      <c r="J62" s="140">
        <f>Source!O30</f>
        <v>2746</v>
      </c>
      <c r="K62" s="140">
        <f>Source!S30</f>
        <v>1561</v>
      </c>
      <c r="L62" s="140">
        <f>Source!Q30</f>
        <v>1</v>
      </c>
      <c r="M62" s="141">
        <f>Source!R30</f>
        <v>0</v>
      </c>
    </row>
    <row r="63" spans="1:13" x14ac:dyDescent="0.2">
      <c r="A63" s="113"/>
      <c r="B63" s="114"/>
      <c r="C63" s="115" t="s">
        <v>399</v>
      </c>
      <c r="D63" s="114"/>
      <c r="E63" s="116">
        <v>79</v>
      </c>
      <c r="F63" s="117" t="s">
        <v>400</v>
      </c>
      <c r="G63" s="114"/>
      <c r="H63" s="114"/>
      <c r="I63" s="114"/>
      <c r="J63" s="118">
        <f>Source!X30</f>
        <v>1233</v>
      </c>
      <c r="K63" s="114"/>
      <c r="L63" s="114"/>
      <c r="M63" s="119"/>
    </row>
    <row r="64" spans="1:13" x14ac:dyDescent="0.2">
      <c r="A64" s="120"/>
      <c r="B64" s="121"/>
      <c r="C64" s="122" t="s">
        <v>401</v>
      </c>
      <c r="D64" s="121"/>
      <c r="E64" s="123">
        <v>50</v>
      </c>
      <c r="F64" s="124" t="s">
        <v>400</v>
      </c>
      <c r="G64" s="121"/>
      <c r="H64" s="121"/>
      <c r="I64" s="121"/>
      <c r="J64" s="125">
        <f>Source!Y30</f>
        <v>781</v>
      </c>
      <c r="K64" s="121"/>
      <c r="L64" s="121"/>
      <c r="M64" s="126"/>
    </row>
    <row r="65" spans="1:13" x14ac:dyDescent="0.2">
      <c r="A65" s="127"/>
      <c r="B65" s="128"/>
      <c r="C65" s="129" t="s">
        <v>402</v>
      </c>
      <c r="D65" s="128"/>
      <c r="E65" s="130"/>
      <c r="F65" s="131"/>
      <c r="G65" s="128"/>
      <c r="H65" s="128"/>
      <c r="I65" s="128"/>
      <c r="J65" s="132">
        <f>J62+J63+J64</f>
        <v>4760</v>
      </c>
      <c r="K65" s="128"/>
      <c r="L65" s="128"/>
      <c r="M65" s="133"/>
    </row>
    <row r="66" spans="1:13" x14ac:dyDescent="0.2">
      <c r="A66" s="120"/>
      <c r="B66" s="122" t="str">
        <f>IF(Source!I30=0.5195," Расчет объема","")</f>
        <v xml:space="preserve"> Расчет объема</v>
      </c>
      <c r="C66" s="122" t="str">
        <f>IF(Source!I30=0.5195,"   51,95/100 = 0,5195","")</f>
        <v xml:space="preserve">   51,95/100 = 0,5195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6"/>
    </row>
    <row r="67" spans="1:13" ht="36" x14ac:dyDescent="0.2">
      <c r="A67" s="134">
        <v>5</v>
      </c>
      <c r="B67" s="135" t="s">
        <v>36</v>
      </c>
      <c r="C67" s="136" t="s">
        <v>37</v>
      </c>
      <c r="D67" s="137" t="s">
        <v>15</v>
      </c>
      <c r="E67" s="138">
        <v>4.7073</v>
      </c>
      <c r="F67" s="139">
        <f>Source!AC32+Source!AD32+Source!AF32</f>
        <v>312.22000000000003</v>
      </c>
      <c r="G67" s="139">
        <v>205.15</v>
      </c>
      <c r="H67" s="139">
        <v>0.66</v>
      </c>
      <c r="I67" s="139">
        <v>0.12</v>
      </c>
      <c r="J67" s="140">
        <f>Source!O32</f>
        <v>1470</v>
      </c>
      <c r="K67" s="140">
        <f>Source!S32</f>
        <v>966</v>
      </c>
      <c r="L67" s="140">
        <f>Source!Q32</f>
        <v>3</v>
      </c>
      <c r="M67" s="141">
        <f>Source!R32</f>
        <v>1</v>
      </c>
    </row>
    <row r="68" spans="1:13" x14ac:dyDescent="0.2">
      <c r="A68" s="113"/>
      <c r="B68" s="114"/>
      <c r="C68" s="115" t="s">
        <v>399</v>
      </c>
      <c r="D68" s="114"/>
      <c r="E68" s="116">
        <v>80</v>
      </c>
      <c r="F68" s="117" t="s">
        <v>400</v>
      </c>
      <c r="G68" s="114"/>
      <c r="H68" s="114"/>
      <c r="I68" s="114"/>
      <c r="J68" s="118">
        <f>Source!X32</f>
        <v>774</v>
      </c>
      <c r="K68" s="114"/>
      <c r="L68" s="114"/>
      <c r="M68" s="119"/>
    </row>
    <row r="69" spans="1:13" x14ac:dyDescent="0.2">
      <c r="A69" s="120"/>
      <c r="B69" s="121"/>
      <c r="C69" s="122" t="s">
        <v>401</v>
      </c>
      <c r="D69" s="121"/>
      <c r="E69" s="123">
        <v>50</v>
      </c>
      <c r="F69" s="124" t="s">
        <v>400</v>
      </c>
      <c r="G69" s="121"/>
      <c r="H69" s="121"/>
      <c r="I69" s="121"/>
      <c r="J69" s="125">
        <f>Source!Y32</f>
        <v>484</v>
      </c>
      <c r="K69" s="121"/>
      <c r="L69" s="121"/>
      <c r="M69" s="126"/>
    </row>
    <row r="70" spans="1:13" x14ac:dyDescent="0.2">
      <c r="A70" s="127"/>
      <c r="B70" s="128"/>
      <c r="C70" s="129" t="s">
        <v>402</v>
      </c>
      <c r="D70" s="128"/>
      <c r="E70" s="130"/>
      <c r="F70" s="131"/>
      <c r="G70" s="128"/>
      <c r="H70" s="128"/>
      <c r="I70" s="128"/>
      <c r="J70" s="132">
        <f>J67+J68+J69</f>
        <v>2728</v>
      </c>
      <c r="K70" s="128"/>
      <c r="L70" s="128"/>
      <c r="M70" s="133"/>
    </row>
    <row r="71" spans="1:13" x14ac:dyDescent="0.2">
      <c r="A71" s="120"/>
      <c r="B71" s="122" t="str">
        <f>IF(Source!I32=4.7073," Расчет объема","")</f>
        <v xml:space="preserve"> Расчет объема</v>
      </c>
      <c r="C71" s="122" t="str">
        <f>IF(Source!I32=4.7073,"   470,73/100 = 4,7073","")</f>
        <v xml:space="preserve">   470,73/100 = 4,7073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6"/>
    </row>
    <row r="72" spans="1:13" x14ac:dyDescent="0.2">
      <c r="A72" s="134" t="s">
        <v>41</v>
      </c>
      <c r="B72" s="135" t="s">
        <v>42</v>
      </c>
      <c r="C72" s="136" t="s">
        <v>43</v>
      </c>
      <c r="D72" s="137" t="s">
        <v>44</v>
      </c>
      <c r="E72" s="138">
        <f>Source!I34</f>
        <v>5.6487599999999999E-2</v>
      </c>
      <c r="F72" s="139">
        <v>15978.36</v>
      </c>
      <c r="G72" s="139"/>
      <c r="H72" s="139"/>
      <c r="I72" s="139"/>
      <c r="J72" s="140">
        <f>Source!O34</f>
        <v>903</v>
      </c>
      <c r="K72" s="140"/>
      <c r="L72" s="140"/>
      <c r="M72" s="141"/>
    </row>
    <row r="73" spans="1:13" x14ac:dyDescent="0.2">
      <c r="A73" s="113"/>
      <c r="B73" s="117" t="s">
        <v>403</v>
      </c>
      <c r="C73" s="117" t="s">
        <v>404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9"/>
    </row>
    <row r="74" spans="1:13" ht="36" x14ac:dyDescent="0.2">
      <c r="A74" s="134">
        <v>6</v>
      </c>
      <c r="B74" s="135" t="s">
        <v>50</v>
      </c>
      <c r="C74" s="136" t="s">
        <v>51</v>
      </c>
      <c r="D74" s="137" t="s">
        <v>52</v>
      </c>
      <c r="E74" s="138">
        <v>0.28299999999999997</v>
      </c>
      <c r="F74" s="139">
        <f>Source!AC36+Source!AD36+Source!AF36</f>
        <v>71.180000000000007</v>
      </c>
      <c r="G74" s="139">
        <v>70.98</v>
      </c>
      <c r="H74" s="139">
        <v>0.2</v>
      </c>
      <c r="I74" s="139">
        <v>0</v>
      </c>
      <c r="J74" s="140">
        <f>Source!O36</f>
        <v>20</v>
      </c>
      <c r="K74" s="140">
        <f>Source!S36</f>
        <v>20</v>
      </c>
      <c r="L74" s="140">
        <f>Source!Q36</f>
        <v>0</v>
      </c>
      <c r="M74" s="141">
        <f>Source!R36</f>
        <v>0</v>
      </c>
    </row>
    <row r="75" spans="1:13" x14ac:dyDescent="0.2">
      <c r="A75" s="113"/>
      <c r="B75" s="114"/>
      <c r="C75" s="115" t="s">
        <v>399</v>
      </c>
      <c r="D75" s="114"/>
      <c r="E75" s="116">
        <v>83</v>
      </c>
      <c r="F75" s="117" t="s">
        <v>400</v>
      </c>
      <c r="G75" s="114"/>
      <c r="H75" s="114"/>
      <c r="I75" s="114"/>
      <c r="J75" s="118">
        <f>Source!X36</f>
        <v>17</v>
      </c>
      <c r="K75" s="114"/>
      <c r="L75" s="114"/>
      <c r="M75" s="119"/>
    </row>
    <row r="76" spans="1:13" x14ac:dyDescent="0.2">
      <c r="A76" s="120"/>
      <c r="B76" s="121"/>
      <c r="C76" s="122" t="s">
        <v>401</v>
      </c>
      <c r="D76" s="121"/>
      <c r="E76" s="123">
        <v>65</v>
      </c>
      <c r="F76" s="124" t="s">
        <v>400</v>
      </c>
      <c r="G76" s="121"/>
      <c r="H76" s="121"/>
      <c r="I76" s="121"/>
      <c r="J76" s="125">
        <f>Source!Y36</f>
        <v>13</v>
      </c>
      <c r="K76" s="121"/>
      <c r="L76" s="121"/>
      <c r="M76" s="126"/>
    </row>
    <row r="77" spans="1:13" x14ac:dyDescent="0.2">
      <c r="A77" s="127"/>
      <c r="B77" s="128"/>
      <c r="C77" s="129" t="s">
        <v>402</v>
      </c>
      <c r="D77" s="128"/>
      <c r="E77" s="130"/>
      <c r="F77" s="131"/>
      <c r="G77" s="128"/>
      <c r="H77" s="128"/>
      <c r="I77" s="128"/>
      <c r="J77" s="132">
        <f>J74+J75+J76</f>
        <v>50</v>
      </c>
      <c r="K77" s="128"/>
      <c r="L77" s="128"/>
      <c r="M77" s="133"/>
    </row>
    <row r="78" spans="1:13" x14ac:dyDescent="0.2">
      <c r="A78" s="120"/>
      <c r="B78" s="122" t="str">
        <f>IF(Source!I36=0.283," Расчет объема","")</f>
        <v xml:space="preserve"> Расчет объема</v>
      </c>
      <c r="C78" s="122" t="str">
        <f>IF(Source!I36=0.283,"   28,3/100 = 0,283","")</f>
        <v xml:space="preserve">   28,3/100 = 0,283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6"/>
    </row>
    <row r="79" spans="1:13" ht="36" x14ac:dyDescent="0.2">
      <c r="A79" s="134">
        <v>7</v>
      </c>
      <c r="B79" s="135" t="s">
        <v>57</v>
      </c>
      <c r="C79" s="136" t="s">
        <v>58</v>
      </c>
      <c r="D79" s="137" t="s">
        <v>15</v>
      </c>
      <c r="E79" s="138">
        <v>3.15E-2</v>
      </c>
      <c r="F79" s="139">
        <f>Source!AC38+Source!AD38+Source!AF38</f>
        <v>9874.2199999999993</v>
      </c>
      <c r="G79" s="139">
        <v>961.76</v>
      </c>
      <c r="H79" s="139">
        <v>21.88</v>
      </c>
      <c r="I79" s="139">
        <v>3.51</v>
      </c>
      <c r="J79" s="140">
        <f>Source!O38</f>
        <v>311</v>
      </c>
      <c r="K79" s="140">
        <f>Source!S38</f>
        <v>30</v>
      </c>
      <c r="L79" s="140">
        <f>Source!Q38</f>
        <v>1</v>
      </c>
      <c r="M79" s="141">
        <f>Source!R38</f>
        <v>0</v>
      </c>
    </row>
    <row r="80" spans="1:13" x14ac:dyDescent="0.2">
      <c r="A80" s="113"/>
      <c r="B80" s="114"/>
      <c r="C80" s="115" t="s">
        <v>399</v>
      </c>
      <c r="D80" s="114"/>
      <c r="E80" s="116">
        <v>120</v>
      </c>
      <c r="F80" s="117" t="s">
        <v>400</v>
      </c>
      <c r="G80" s="114"/>
      <c r="H80" s="114"/>
      <c r="I80" s="114"/>
      <c r="J80" s="118">
        <f>Source!X38</f>
        <v>36</v>
      </c>
      <c r="K80" s="114"/>
      <c r="L80" s="114"/>
      <c r="M80" s="119"/>
    </row>
    <row r="81" spans="1:13" x14ac:dyDescent="0.2">
      <c r="A81" s="120"/>
      <c r="B81" s="121"/>
      <c r="C81" s="122" t="s">
        <v>401</v>
      </c>
      <c r="D81" s="121"/>
      <c r="E81" s="123">
        <v>65</v>
      </c>
      <c r="F81" s="124" t="s">
        <v>400</v>
      </c>
      <c r="G81" s="121"/>
      <c r="H81" s="121"/>
      <c r="I81" s="121"/>
      <c r="J81" s="125">
        <f>Source!Y38</f>
        <v>20</v>
      </c>
      <c r="K81" s="121"/>
      <c r="L81" s="121"/>
      <c r="M81" s="126"/>
    </row>
    <row r="82" spans="1:13" x14ac:dyDescent="0.2">
      <c r="A82" s="127"/>
      <c r="B82" s="128"/>
      <c r="C82" s="129" t="s">
        <v>402</v>
      </c>
      <c r="D82" s="128"/>
      <c r="E82" s="130"/>
      <c r="F82" s="131"/>
      <c r="G82" s="128"/>
      <c r="H82" s="128"/>
      <c r="I82" s="128"/>
      <c r="J82" s="132">
        <f>J79+J80+J81</f>
        <v>367</v>
      </c>
      <c r="K82" s="128"/>
      <c r="L82" s="128"/>
      <c r="M82" s="133"/>
    </row>
    <row r="83" spans="1:13" x14ac:dyDescent="0.2">
      <c r="A83" s="120"/>
      <c r="B83" s="122" t="str">
        <f>IF(Source!I38=0.0315," Расчет объема","")</f>
        <v xml:space="preserve"> Расчет объема</v>
      </c>
      <c r="C83" s="122" t="str">
        <f>IF(Source!I38=0.0315,"   3,15/100 = 0,0315","")</f>
        <v xml:space="preserve">   3,15/100 = 0,0315</v>
      </c>
      <c r="D83" s="121"/>
      <c r="E83" s="121"/>
      <c r="F83" s="121"/>
      <c r="G83" s="121"/>
      <c r="H83" s="121"/>
      <c r="I83" s="121"/>
      <c r="J83" s="121"/>
      <c r="K83" s="121"/>
      <c r="L83" s="121"/>
      <c r="M83" s="126"/>
    </row>
    <row r="84" spans="1:13" ht="36" x14ac:dyDescent="0.2">
      <c r="A84" s="134">
        <v>8</v>
      </c>
      <c r="B84" s="135" t="s">
        <v>63</v>
      </c>
      <c r="C84" s="136" t="s">
        <v>64</v>
      </c>
      <c r="D84" s="137" t="s">
        <v>15</v>
      </c>
      <c r="E84" s="138">
        <v>0.2515</v>
      </c>
      <c r="F84" s="139">
        <f>Source!AC40+Source!AD40+Source!AF40</f>
        <v>401.53000000000003</v>
      </c>
      <c r="G84" s="139">
        <v>41.8</v>
      </c>
      <c r="H84" s="139">
        <v>0.66</v>
      </c>
      <c r="I84" s="139">
        <v>0.12</v>
      </c>
      <c r="J84" s="140">
        <f>Source!O40</f>
        <v>101</v>
      </c>
      <c r="K84" s="140">
        <f>Source!S40</f>
        <v>11</v>
      </c>
      <c r="L84" s="140">
        <f>Source!Q40</f>
        <v>0</v>
      </c>
      <c r="M84" s="141">
        <f>Source!R40</f>
        <v>0</v>
      </c>
    </row>
    <row r="85" spans="1:13" x14ac:dyDescent="0.2">
      <c r="A85" s="113"/>
      <c r="B85" s="114"/>
      <c r="C85" s="115" t="s">
        <v>399</v>
      </c>
      <c r="D85" s="114"/>
      <c r="E85" s="116">
        <v>120</v>
      </c>
      <c r="F85" s="117" t="s">
        <v>400</v>
      </c>
      <c r="G85" s="114"/>
      <c r="H85" s="114"/>
      <c r="I85" s="114"/>
      <c r="J85" s="118">
        <f>Source!X40</f>
        <v>13</v>
      </c>
      <c r="K85" s="114"/>
      <c r="L85" s="114"/>
      <c r="M85" s="119"/>
    </row>
    <row r="86" spans="1:13" x14ac:dyDescent="0.2">
      <c r="A86" s="120"/>
      <c r="B86" s="121"/>
      <c r="C86" s="122" t="s">
        <v>401</v>
      </c>
      <c r="D86" s="121"/>
      <c r="E86" s="123">
        <v>65</v>
      </c>
      <c r="F86" s="124" t="s">
        <v>400</v>
      </c>
      <c r="G86" s="121"/>
      <c r="H86" s="121"/>
      <c r="I86" s="121"/>
      <c r="J86" s="125">
        <f>Source!Y40</f>
        <v>7</v>
      </c>
      <c r="K86" s="121"/>
      <c r="L86" s="121"/>
      <c r="M86" s="126"/>
    </row>
    <row r="87" spans="1:13" x14ac:dyDescent="0.2">
      <c r="A87" s="127"/>
      <c r="B87" s="128"/>
      <c r="C87" s="129" t="s">
        <v>402</v>
      </c>
      <c r="D87" s="128"/>
      <c r="E87" s="130"/>
      <c r="F87" s="131"/>
      <c r="G87" s="128"/>
      <c r="H87" s="128"/>
      <c r="I87" s="128"/>
      <c r="J87" s="132">
        <f>J84+J85+J86</f>
        <v>121</v>
      </c>
      <c r="K87" s="128"/>
      <c r="L87" s="128"/>
      <c r="M87" s="133"/>
    </row>
    <row r="88" spans="1:13" x14ac:dyDescent="0.2">
      <c r="A88" s="120"/>
      <c r="B88" s="122" t="str">
        <f>IF(Source!I40=0.2515," Расчет объема","")</f>
        <v xml:space="preserve"> Расчет объема</v>
      </c>
      <c r="C88" s="122" t="str">
        <f>IF(Source!I40=0.2515,"   25,15/100 = 0,2515","")</f>
        <v xml:space="preserve">   25,15/100 = 0,2515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6"/>
    </row>
    <row r="89" spans="1:13" ht="24" x14ac:dyDescent="0.2">
      <c r="A89" s="134">
        <v>9</v>
      </c>
      <c r="B89" s="135" t="s">
        <v>67</v>
      </c>
      <c r="C89" s="136" t="s">
        <v>68</v>
      </c>
      <c r="D89" s="137" t="s">
        <v>52</v>
      </c>
      <c r="E89" s="138">
        <v>0.69</v>
      </c>
      <c r="F89" s="139">
        <f>Source!AC42+Source!AD42+Source!AF42</f>
        <v>679.55</v>
      </c>
      <c r="G89" s="139">
        <v>556.24</v>
      </c>
      <c r="H89" s="139">
        <v>3.53</v>
      </c>
      <c r="I89" s="139">
        <v>1.03</v>
      </c>
      <c r="J89" s="140">
        <f>Source!O42</f>
        <v>469</v>
      </c>
      <c r="K89" s="140">
        <f>Source!S42</f>
        <v>384</v>
      </c>
      <c r="L89" s="140">
        <f>Source!Q42</f>
        <v>2</v>
      </c>
      <c r="M89" s="141">
        <f>Source!R42</f>
        <v>1</v>
      </c>
    </row>
    <row r="90" spans="1:13" x14ac:dyDescent="0.2">
      <c r="A90" s="113"/>
      <c r="B90" s="114"/>
      <c r="C90" s="115" t="s">
        <v>399</v>
      </c>
      <c r="D90" s="114"/>
      <c r="E90" s="116">
        <v>83</v>
      </c>
      <c r="F90" s="117" t="s">
        <v>400</v>
      </c>
      <c r="G90" s="114"/>
      <c r="H90" s="114"/>
      <c r="I90" s="114"/>
      <c r="J90" s="118">
        <f>Source!X42</f>
        <v>320</v>
      </c>
      <c r="K90" s="114"/>
      <c r="L90" s="114"/>
      <c r="M90" s="119"/>
    </row>
    <row r="91" spans="1:13" x14ac:dyDescent="0.2">
      <c r="A91" s="120"/>
      <c r="B91" s="121"/>
      <c r="C91" s="122" t="s">
        <v>401</v>
      </c>
      <c r="D91" s="121"/>
      <c r="E91" s="123">
        <v>65</v>
      </c>
      <c r="F91" s="124" t="s">
        <v>400</v>
      </c>
      <c r="G91" s="121"/>
      <c r="H91" s="121"/>
      <c r="I91" s="121"/>
      <c r="J91" s="125">
        <f>Source!Y42</f>
        <v>250</v>
      </c>
      <c r="K91" s="121"/>
      <c r="L91" s="121"/>
      <c r="M91" s="126"/>
    </row>
    <row r="92" spans="1:13" x14ac:dyDescent="0.2">
      <c r="A92" s="127"/>
      <c r="B92" s="128"/>
      <c r="C92" s="129" t="s">
        <v>402</v>
      </c>
      <c r="D92" s="128"/>
      <c r="E92" s="130"/>
      <c r="F92" s="131"/>
      <c r="G92" s="128"/>
      <c r="H92" s="128"/>
      <c r="I92" s="128"/>
      <c r="J92" s="132">
        <f>J89+J90+J91</f>
        <v>1039</v>
      </c>
      <c r="K92" s="128"/>
      <c r="L92" s="128"/>
      <c r="M92" s="133"/>
    </row>
    <row r="93" spans="1:13" x14ac:dyDescent="0.2">
      <c r="A93" s="120"/>
      <c r="B93" s="122" t="str">
        <f>IF(Source!I42=0.69," Расчет объема","")</f>
        <v xml:space="preserve"> Расчет объема</v>
      </c>
      <c r="C93" s="122" t="str">
        <f>IF(Source!I42=0.69,"   69/100 = 0,69","")</f>
        <v xml:space="preserve">   69/100 = 0,69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6"/>
    </row>
    <row r="94" spans="1:13" ht="24" x14ac:dyDescent="0.2">
      <c r="A94" s="134">
        <v>10</v>
      </c>
      <c r="B94" s="135" t="s">
        <v>71</v>
      </c>
      <c r="C94" s="136" t="s">
        <v>72</v>
      </c>
      <c r="D94" s="137" t="s">
        <v>73</v>
      </c>
      <c r="E94" s="138">
        <v>5.65</v>
      </c>
      <c r="F94" s="139">
        <f>Source!AC44+Source!AD44+Source!AF44</f>
        <v>24.33</v>
      </c>
      <c r="G94" s="139">
        <v>24.31</v>
      </c>
      <c r="H94" s="139">
        <v>0</v>
      </c>
      <c r="I94" s="139">
        <v>0</v>
      </c>
      <c r="J94" s="140">
        <f>Source!O44</f>
        <v>137</v>
      </c>
      <c r="K94" s="140">
        <f>Source!S44</f>
        <v>137</v>
      </c>
      <c r="L94" s="140">
        <f>Source!Q44</f>
        <v>0</v>
      </c>
      <c r="M94" s="141">
        <f>Source!R44</f>
        <v>0</v>
      </c>
    </row>
    <row r="95" spans="1:13" x14ac:dyDescent="0.2">
      <c r="A95" s="113"/>
      <c r="B95" s="114"/>
      <c r="C95" s="115" t="s">
        <v>399</v>
      </c>
      <c r="D95" s="114"/>
      <c r="E95" s="116">
        <v>86</v>
      </c>
      <c r="F95" s="117" t="s">
        <v>400</v>
      </c>
      <c r="G95" s="114"/>
      <c r="H95" s="114"/>
      <c r="I95" s="114"/>
      <c r="J95" s="118">
        <f>Source!X44</f>
        <v>118</v>
      </c>
      <c r="K95" s="114"/>
      <c r="L95" s="114"/>
      <c r="M95" s="119"/>
    </row>
    <row r="96" spans="1:13" x14ac:dyDescent="0.2">
      <c r="A96" s="120"/>
      <c r="B96" s="121"/>
      <c r="C96" s="122" t="s">
        <v>401</v>
      </c>
      <c r="D96" s="121"/>
      <c r="E96" s="123">
        <v>70</v>
      </c>
      <c r="F96" s="124" t="s">
        <v>400</v>
      </c>
      <c r="G96" s="121"/>
      <c r="H96" s="121"/>
      <c r="I96" s="121"/>
      <c r="J96" s="125">
        <f>Source!Y44</f>
        <v>96</v>
      </c>
      <c r="K96" s="121"/>
      <c r="L96" s="121"/>
      <c r="M96" s="126"/>
    </row>
    <row r="97" spans="1:13" x14ac:dyDescent="0.2">
      <c r="A97" s="127"/>
      <c r="B97" s="128"/>
      <c r="C97" s="129" t="s">
        <v>402</v>
      </c>
      <c r="D97" s="128"/>
      <c r="E97" s="130"/>
      <c r="F97" s="131"/>
      <c r="G97" s="128"/>
      <c r="H97" s="128"/>
      <c r="I97" s="128"/>
      <c r="J97" s="132">
        <f>J94+J95+J96</f>
        <v>351</v>
      </c>
      <c r="K97" s="128"/>
      <c r="L97" s="128"/>
      <c r="M97" s="133"/>
    </row>
    <row r="98" spans="1:13" x14ac:dyDescent="0.2">
      <c r="A98" s="120"/>
      <c r="B98" s="122" t="str">
        <f>IF(Source!I44=5.65," Расчет объема","")</f>
        <v xml:space="preserve"> Расчет объема</v>
      </c>
      <c r="C98" s="122" t="str">
        <f>IF(Source!I44=5.65,"   56,5/10 = 5,65","")</f>
        <v xml:space="preserve">   56,5/10 = 5,65</v>
      </c>
      <c r="D98" s="121"/>
      <c r="E98" s="121"/>
      <c r="F98" s="121"/>
      <c r="G98" s="121"/>
      <c r="H98" s="121"/>
      <c r="I98" s="121"/>
      <c r="J98" s="121"/>
      <c r="K98" s="121"/>
      <c r="L98" s="121"/>
      <c r="M98" s="126"/>
    </row>
    <row r="99" spans="1:13" ht="37.5" customHeight="1" x14ac:dyDescent="0.2">
      <c r="A99" s="134">
        <v>11</v>
      </c>
      <c r="B99" s="135" t="s">
        <v>78</v>
      </c>
      <c r="C99" s="136" t="s">
        <v>79</v>
      </c>
      <c r="D99" s="137" t="s">
        <v>15</v>
      </c>
      <c r="E99" s="138">
        <v>0.51949999999999996</v>
      </c>
      <c r="F99" s="139">
        <f>Source!AC46+Source!AD46+Source!AF46</f>
        <v>1563.91</v>
      </c>
      <c r="G99" s="139">
        <v>1528.19</v>
      </c>
      <c r="H99" s="139">
        <v>35.36</v>
      </c>
      <c r="I99" s="139">
        <v>6.88</v>
      </c>
      <c r="J99" s="140">
        <f>Source!O46</f>
        <v>812</v>
      </c>
      <c r="K99" s="140">
        <f>Source!S46</f>
        <v>794</v>
      </c>
      <c r="L99" s="140">
        <f>Source!Q46</f>
        <v>18</v>
      </c>
      <c r="M99" s="141">
        <f>Source!R46</f>
        <v>4</v>
      </c>
    </row>
    <row r="100" spans="1:13" x14ac:dyDescent="0.2">
      <c r="A100" s="113"/>
      <c r="B100" s="114"/>
      <c r="C100" s="115" t="s">
        <v>399</v>
      </c>
      <c r="D100" s="114"/>
      <c r="E100" s="116">
        <v>105</v>
      </c>
      <c r="F100" s="117" t="s">
        <v>400</v>
      </c>
      <c r="G100" s="114"/>
      <c r="H100" s="114"/>
      <c r="I100" s="114"/>
      <c r="J100" s="118">
        <f>Source!X46</f>
        <v>838</v>
      </c>
      <c r="K100" s="114"/>
      <c r="L100" s="114"/>
      <c r="M100" s="119"/>
    </row>
    <row r="101" spans="1:13" x14ac:dyDescent="0.2">
      <c r="A101" s="120"/>
      <c r="B101" s="121"/>
      <c r="C101" s="122" t="s">
        <v>401</v>
      </c>
      <c r="D101" s="121"/>
      <c r="E101" s="123">
        <v>55</v>
      </c>
      <c r="F101" s="124" t="s">
        <v>400</v>
      </c>
      <c r="G101" s="121"/>
      <c r="H101" s="121"/>
      <c r="I101" s="121"/>
      <c r="J101" s="125">
        <f>Source!Y46</f>
        <v>439</v>
      </c>
      <c r="K101" s="121"/>
      <c r="L101" s="121"/>
      <c r="M101" s="126"/>
    </row>
    <row r="102" spans="1:13" x14ac:dyDescent="0.2">
      <c r="A102" s="127"/>
      <c r="B102" s="128"/>
      <c r="C102" s="129" t="s">
        <v>402</v>
      </c>
      <c r="D102" s="128"/>
      <c r="E102" s="130"/>
      <c r="F102" s="131"/>
      <c r="G102" s="128"/>
      <c r="H102" s="128"/>
      <c r="I102" s="128"/>
      <c r="J102" s="132">
        <f>J99+J100+J101</f>
        <v>2089</v>
      </c>
      <c r="K102" s="128"/>
      <c r="L102" s="128"/>
      <c r="M102" s="133"/>
    </row>
    <row r="103" spans="1:13" x14ac:dyDescent="0.2">
      <c r="A103" s="120"/>
      <c r="B103" s="122" t="str">
        <f>IF(Source!I46=0.5195," Расчет объема","")</f>
        <v xml:space="preserve"> Расчет объема</v>
      </c>
      <c r="C103" s="122" t="str">
        <f>IF(Source!I46=0.5195,"   51,95/100 = 0,5195","")</f>
        <v xml:space="preserve">   51,95/100 = 0,5195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6"/>
    </row>
    <row r="104" spans="1:13" x14ac:dyDescent="0.2">
      <c r="A104" s="134" t="s">
        <v>83</v>
      </c>
      <c r="B104" s="135" t="s">
        <v>42</v>
      </c>
      <c r="C104" s="136" t="s">
        <v>84</v>
      </c>
      <c r="D104" s="137" t="s">
        <v>85</v>
      </c>
      <c r="E104" s="138">
        <f>Source!I48</f>
        <v>54.547499999999999</v>
      </c>
      <c r="F104" s="139">
        <v>29.19</v>
      </c>
      <c r="G104" s="139"/>
      <c r="H104" s="139"/>
      <c r="I104" s="139"/>
      <c r="J104" s="140">
        <f>Source!O48</f>
        <v>1592</v>
      </c>
      <c r="K104" s="140"/>
      <c r="L104" s="140"/>
      <c r="M104" s="141"/>
    </row>
    <row r="105" spans="1:13" x14ac:dyDescent="0.2">
      <c r="A105" s="113"/>
      <c r="B105" s="117" t="s">
        <v>403</v>
      </c>
      <c r="C105" s="117" t="s">
        <v>405</v>
      </c>
      <c r="D105" s="114"/>
      <c r="E105" s="114"/>
      <c r="F105" s="114"/>
      <c r="G105" s="114"/>
      <c r="H105" s="114"/>
      <c r="I105" s="114"/>
      <c r="J105" s="114"/>
      <c r="K105" s="114"/>
      <c r="L105" s="114"/>
      <c r="M105" s="119"/>
    </row>
    <row r="106" spans="1:13" x14ac:dyDescent="0.2">
      <c r="A106" s="134" t="s">
        <v>87</v>
      </c>
      <c r="B106" s="135" t="s">
        <v>42</v>
      </c>
      <c r="C106" s="136" t="s">
        <v>88</v>
      </c>
      <c r="D106" s="137" t="s">
        <v>89</v>
      </c>
      <c r="E106" s="138">
        <f>Source!I50</f>
        <v>25.15</v>
      </c>
      <c r="F106" s="139">
        <v>42.63</v>
      </c>
      <c r="G106" s="139"/>
      <c r="H106" s="139"/>
      <c r="I106" s="139"/>
      <c r="J106" s="140">
        <f>Source!O50</f>
        <v>1072</v>
      </c>
      <c r="K106" s="140"/>
      <c r="L106" s="140"/>
      <c r="M106" s="141"/>
    </row>
    <row r="107" spans="1:13" x14ac:dyDescent="0.2">
      <c r="A107" s="113"/>
      <c r="B107" s="117" t="s">
        <v>403</v>
      </c>
      <c r="C107" s="117" t="s">
        <v>406</v>
      </c>
      <c r="D107" s="114"/>
      <c r="E107" s="114"/>
      <c r="F107" s="114"/>
      <c r="G107" s="114"/>
      <c r="H107" s="114"/>
      <c r="I107" s="114"/>
      <c r="J107" s="114"/>
      <c r="K107" s="114"/>
      <c r="L107" s="114"/>
      <c r="M107" s="119"/>
    </row>
    <row r="108" spans="1:13" x14ac:dyDescent="0.2">
      <c r="A108" s="134" t="s">
        <v>91</v>
      </c>
      <c r="B108" s="135" t="s">
        <v>42</v>
      </c>
      <c r="C108" s="136" t="s">
        <v>92</v>
      </c>
      <c r="D108" s="137" t="s">
        <v>44</v>
      </c>
      <c r="E108" s="138">
        <f>Source!I52</f>
        <v>4.6235499999999997E-3</v>
      </c>
      <c r="F108" s="139">
        <v>9218.2900000000009</v>
      </c>
      <c r="G108" s="139"/>
      <c r="H108" s="139"/>
      <c r="I108" s="139"/>
      <c r="J108" s="140">
        <f>Source!O52</f>
        <v>43</v>
      </c>
      <c r="K108" s="140"/>
      <c r="L108" s="140"/>
      <c r="M108" s="141"/>
    </row>
    <row r="109" spans="1:13" x14ac:dyDescent="0.2">
      <c r="A109" s="113"/>
      <c r="B109" s="117" t="s">
        <v>403</v>
      </c>
      <c r="C109" s="117" t="s">
        <v>407</v>
      </c>
      <c r="D109" s="114"/>
      <c r="E109" s="114"/>
      <c r="F109" s="114"/>
      <c r="G109" s="114"/>
      <c r="H109" s="114"/>
      <c r="I109" s="114"/>
      <c r="J109" s="114"/>
      <c r="K109" s="114"/>
      <c r="L109" s="114"/>
      <c r="M109" s="119"/>
    </row>
    <row r="110" spans="1:13" ht="36" x14ac:dyDescent="0.2">
      <c r="A110" s="134">
        <v>12</v>
      </c>
      <c r="B110" s="135" t="s">
        <v>95</v>
      </c>
      <c r="C110" s="136" t="s">
        <v>96</v>
      </c>
      <c r="D110" s="137" t="s">
        <v>15</v>
      </c>
      <c r="E110" s="138">
        <v>4.7073</v>
      </c>
      <c r="F110" s="139">
        <f>Source!AC54+Source!AD54+Source!AF54</f>
        <v>2534.59</v>
      </c>
      <c r="G110" s="139">
        <v>2000.77</v>
      </c>
      <c r="H110" s="139">
        <v>533.82000000000005</v>
      </c>
      <c r="I110" s="139">
        <v>210.19</v>
      </c>
      <c r="J110" s="140">
        <f>Source!O54</f>
        <v>11931</v>
      </c>
      <c r="K110" s="140">
        <f>Source!S54</f>
        <v>9418</v>
      </c>
      <c r="L110" s="140">
        <f>Source!Q54</f>
        <v>2513</v>
      </c>
      <c r="M110" s="141">
        <f>Source!R54</f>
        <v>989</v>
      </c>
    </row>
    <row r="111" spans="1:13" x14ac:dyDescent="0.2">
      <c r="A111" s="113"/>
      <c r="B111" s="114"/>
      <c r="C111" s="115" t="s">
        <v>399</v>
      </c>
      <c r="D111" s="114"/>
      <c r="E111" s="116">
        <v>105</v>
      </c>
      <c r="F111" s="117" t="s">
        <v>400</v>
      </c>
      <c r="G111" s="114"/>
      <c r="H111" s="114"/>
      <c r="I111" s="114"/>
      <c r="J111" s="118">
        <f>Source!X54</f>
        <v>10927</v>
      </c>
      <c r="K111" s="114"/>
      <c r="L111" s="114"/>
      <c r="M111" s="119"/>
    </row>
    <row r="112" spans="1:13" x14ac:dyDescent="0.2">
      <c r="A112" s="120"/>
      <c r="B112" s="121"/>
      <c r="C112" s="122" t="s">
        <v>401</v>
      </c>
      <c r="D112" s="121"/>
      <c r="E112" s="123">
        <v>55</v>
      </c>
      <c r="F112" s="124" t="s">
        <v>400</v>
      </c>
      <c r="G112" s="121"/>
      <c r="H112" s="121"/>
      <c r="I112" s="121"/>
      <c r="J112" s="125">
        <f>Source!Y54</f>
        <v>5724</v>
      </c>
      <c r="K112" s="121"/>
      <c r="L112" s="121"/>
      <c r="M112" s="126"/>
    </row>
    <row r="113" spans="1:255" x14ac:dyDescent="0.2">
      <c r="A113" s="127"/>
      <c r="B113" s="128"/>
      <c r="C113" s="129" t="s">
        <v>402</v>
      </c>
      <c r="D113" s="128"/>
      <c r="E113" s="130"/>
      <c r="F113" s="131"/>
      <c r="G113" s="128"/>
      <c r="H113" s="128"/>
      <c r="I113" s="128"/>
      <c r="J113" s="132">
        <f>J110+J111+J112</f>
        <v>28582</v>
      </c>
      <c r="K113" s="128"/>
      <c r="L113" s="128"/>
      <c r="M113" s="133"/>
    </row>
    <row r="114" spans="1:255" x14ac:dyDescent="0.2">
      <c r="A114" s="120"/>
      <c r="B114" s="122" t="str">
        <f>IF(Source!I54=4.7073," Расчет объема","")</f>
        <v xml:space="preserve"> Расчет объема</v>
      </c>
      <c r="C114" s="122" t="str">
        <f>IF(Source!I54=4.7073,"   470,73/100 = 4,7073","")</f>
        <v xml:space="preserve">   470,73/100 = 4,7073</v>
      </c>
      <c r="D114" s="121"/>
      <c r="E114" s="121"/>
      <c r="F114" s="121"/>
      <c r="G114" s="121"/>
      <c r="H114" s="121"/>
      <c r="I114" s="121"/>
      <c r="J114" s="121"/>
      <c r="K114" s="121"/>
      <c r="L114" s="121"/>
      <c r="M114" s="126"/>
    </row>
    <row r="115" spans="1:255" x14ac:dyDescent="0.2">
      <c r="A115" s="134" t="s">
        <v>98</v>
      </c>
      <c r="B115" s="135" t="s">
        <v>42</v>
      </c>
      <c r="C115" s="136" t="s">
        <v>99</v>
      </c>
      <c r="D115" s="137" t="s">
        <v>85</v>
      </c>
      <c r="E115" s="138">
        <f>Source!I56</f>
        <v>484.8519</v>
      </c>
      <c r="F115" s="139">
        <v>92.18</v>
      </c>
      <c r="G115" s="139"/>
      <c r="H115" s="139"/>
      <c r="I115" s="139"/>
      <c r="J115" s="140">
        <f>Source!O56</f>
        <v>44694</v>
      </c>
      <c r="K115" s="140"/>
      <c r="L115" s="140"/>
      <c r="M115" s="141"/>
    </row>
    <row r="116" spans="1:255" x14ac:dyDescent="0.2">
      <c r="A116" s="113"/>
      <c r="B116" s="117" t="s">
        <v>403</v>
      </c>
      <c r="C116" s="117" t="s">
        <v>408</v>
      </c>
      <c r="D116" s="114"/>
      <c r="E116" s="114"/>
      <c r="F116" s="114"/>
      <c r="G116" s="114"/>
      <c r="H116" s="114"/>
      <c r="I116" s="114"/>
      <c r="J116" s="114"/>
      <c r="K116" s="114"/>
      <c r="L116" s="114"/>
      <c r="M116" s="119"/>
    </row>
    <row r="117" spans="1:255" x14ac:dyDescent="0.2">
      <c r="A117" s="134" t="s">
        <v>101</v>
      </c>
      <c r="B117" s="135" t="s">
        <v>42</v>
      </c>
      <c r="C117" s="136" t="s">
        <v>102</v>
      </c>
      <c r="D117" s="137" t="s">
        <v>85</v>
      </c>
      <c r="E117" s="138">
        <f>Source!I58</f>
        <v>484.8519</v>
      </c>
      <c r="F117" s="139">
        <v>14.23</v>
      </c>
      <c r="G117" s="139"/>
      <c r="H117" s="139"/>
      <c r="I117" s="139"/>
      <c r="J117" s="140">
        <f>Source!O58</f>
        <v>6899</v>
      </c>
      <c r="K117" s="140"/>
      <c r="L117" s="140"/>
      <c r="M117" s="141"/>
    </row>
    <row r="118" spans="1:255" x14ac:dyDescent="0.2">
      <c r="A118" s="113"/>
      <c r="B118" s="117" t="s">
        <v>403</v>
      </c>
      <c r="C118" s="117" t="s">
        <v>409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9"/>
    </row>
    <row r="119" spans="1:255" x14ac:dyDescent="0.2">
      <c r="A119" s="134" t="s">
        <v>104</v>
      </c>
      <c r="B119" s="135" t="s">
        <v>42</v>
      </c>
      <c r="C119" s="136" t="s">
        <v>105</v>
      </c>
      <c r="D119" s="137" t="s">
        <v>85</v>
      </c>
      <c r="E119" s="138">
        <f>Source!I60</f>
        <v>470.73</v>
      </c>
      <c r="F119" s="139">
        <v>32.15</v>
      </c>
      <c r="G119" s="139"/>
      <c r="H119" s="139"/>
      <c r="I119" s="139"/>
      <c r="J119" s="140">
        <f>Source!O60</f>
        <v>15134</v>
      </c>
      <c r="K119" s="140"/>
      <c r="L119" s="140"/>
      <c r="M119" s="141"/>
    </row>
    <row r="120" spans="1:255" ht="13.5" thickBot="1" x14ac:dyDescent="0.25">
      <c r="A120" s="113"/>
      <c r="B120" s="117" t="s">
        <v>403</v>
      </c>
      <c r="C120" s="117" t="s">
        <v>410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9"/>
    </row>
    <row r="121" spans="1:255" x14ac:dyDescent="0.2">
      <c r="A121" s="142"/>
      <c r="B121" s="142"/>
      <c r="C121" s="143" t="s">
        <v>411</v>
      </c>
      <c r="D121" s="143"/>
      <c r="E121" s="143"/>
      <c r="F121" s="143"/>
      <c r="G121" s="143"/>
      <c r="H121" s="143"/>
      <c r="I121" s="173">
        <f>CY121</f>
        <v>93765</v>
      </c>
      <c r="J121" s="173"/>
      <c r="K121" s="144">
        <f>CZ121</f>
        <v>16547</v>
      </c>
      <c r="L121" s="144">
        <f>DA121</f>
        <v>2552</v>
      </c>
      <c r="M121" s="144">
        <f>DB121</f>
        <v>997</v>
      </c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>
        <f>Source!U63</f>
        <v>1775.4655209999999</v>
      </c>
      <c r="CX121" s="23">
        <f>Source!V63</f>
        <v>85.893817000000013</v>
      </c>
      <c r="CY121" s="23">
        <f>Source!O63</f>
        <v>93765</v>
      </c>
      <c r="CZ121" s="23">
        <f>Source!S63</f>
        <v>16547</v>
      </c>
      <c r="DA121" s="23">
        <f>Source!Q63</f>
        <v>2552</v>
      </c>
      <c r="DB121" s="23">
        <f>Source!R63</f>
        <v>997</v>
      </c>
      <c r="DC121" s="23">
        <f>Source!P63</f>
        <v>74666</v>
      </c>
      <c r="DD121" s="23">
        <f>Source!AO63</f>
        <v>0</v>
      </c>
      <c r="DE121" s="23">
        <f>Source!AV63</f>
        <v>74666</v>
      </c>
      <c r="DF121" s="23">
        <f>Source!AW63</f>
        <v>74666</v>
      </c>
      <c r="DG121" s="23">
        <f>Source!AX63</f>
        <v>0</v>
      </c>
      <c r="DH121" s="23">
        <f>Source!AY63</f>
        <v>74666</v>
      </c>
      <c r="DI121" s="23">
        <f>Source!AP63</f>
        <v>0</v>
      </c>
      <c r="DJ121" s="23">
        <f>Source!AQ63</f>
        <v>0</v>
      </c>
      <c r="DK121" s="23">
        <f>Source!AZ63</f>
        <v>0</v>
      </c>
      <c r="DL121" s="23">
        <f>Source!T63</f>
        <v>0</v>
      </c>
      <c r="DM121" s="23">
        <f>Source!W63</f>
        <v>0</v>
      </c>
      <c r="DN121" s="23">
        <f>Source!X63</f>
        <v>17249</v>
      </c>
      <c r="DO121" s="23">
        <f>Source!Y63</f>
        <v>9723</v>
      </c>
      <c r="DP121" s="23">
        <f>Source!AR63</f>
        <v>120737</v>
      </c>
      <c r="DQ121" s="23">
        <f>Source!AS63</f>
        <v>120737</v>
      </c>
      <c r="DR121" s="23">
        <f>Source!AT63</f>
        <v>0</v>
      </c>
      <c r="DS121" s="23">
        <f>Source!AP63</f>
        <v>0</v>
      </c>
      <c r="DT121" s="23">
        <f>Source!AU63</f>
        <v>0</v>
      </c>
      <c r="DU121" s="23">
        <f>Source!AS63+Source!AT63</f>
        <v>120737</v>
      </c>
      <c r="DV121" s="23"/>
      <c r="DW121" s="23">
        <f>Source!BA63</f>
        <v>0</v>
      </c>
      <c r="DX121" s="23">
        <f>Source!BB63</f>
        <v>0</v>
      </c>
      <c r="DY121" s="23">
        <f>Source!BC63</f>
        <v>0</v>
      </c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</row>
    <row r="122" spans="1:255" x14ac:dyDescent="0.2">
      <c r="I122" s="174"/>
      <c r="J122" s="174"/>
    </row>
    <row r="123" spans="1:255" x14ac:dyDescent="0.2">
      <c r="C123" s="24"/>
      <c r="D123" s="24"/>
      <c r="E123" s="24"/>
      <c r="F123" s="24"/>
      <c r="G123" s="24"/>
      <c r="H123" s="24"/>
      <c r="I123" s="175"/>
      <c r="J123" s="174"/>
    </row>
    <row r="124" spans="1:255" x14ac:dyDescent="0.2">
      <c r="A124" s="44"/>
      <c r="B124" s="44"/>
      <c r="C124" s="45" t="s">
        <v>412</v>
      </c>
      <c r="D124" s="45"/>
      <c r="E124" s="45"/>
      <c r="F124" s="45"/>
      <c r="G124" s="45"/>
      <c r="H124" s="45"/>
      <c r="I124" s="176">
        <f>DN121</f>
        <v>17249</v>
      </c>
      <c r="J124" s="167"/>
    </row>
    <row r="125" spans="1:255" x14ac:dyDescent="0.2">
      <c r="A125" s="44"/>
      <c r="B125" s="44"/>
      <c r="C125" s="45" t="s">
        <v>413</v>
      </c>
      <c r="D125" s="45"/>
      <c r="E125" s="45"/>
      <c r="F125" s="45"/>
      <c r="G125" s="45"/>
      <c r="H125" s="45"/>
      <c r="I125" s="176">
        <f>DO121</f>
        <v>9723</v>
      </c>
      <c r="J125" s="167"/>
    </row>
    <row r="126" spans="1:255" x14ac:dyDescent="0.2">
      <c r="A126" s="44"/>
      <c r="B126" s="44"/>
      <c r="C126" s="45" t="s">
        <v>414</v>
      </c>
      <c r="D126" s="45"/>
      <c r="E126" s="45"/>
      <c r="F126" s="45"/>
      <c r="G126" s="45"/>
      <c r="H126" s="45"/>
      <c r="I126" s="176">
        <f>DP121</f>
        <v>120737</v>
      </c>
      <c r="J126" s="167"/>
    </row>
    <row r="127" spans="1:255" x14ac:dyDescent="0.2">
      <c r="C127" s="24" t="s">
        <v>415</v>
      </c>
      <c r="D127" s="24"/>
      <c r="E127" s="24"/>
      <c r="F127" s="24"/>
      <c r="G127" s="24"/>
      <c r="H127" s="24"/>
      <c r="I127" s="175"/>
      <c r="J127" s="174"/>
    </row>
    <row r="128" spans="1:255" x14ac:dyDescent="0.2">
      <c r="C128" s="24" t="s">
        <v>416</v>
      </c>
      <c r="D128" s="24"/>
      <c r="E128" s="24"/>
      <c r="F128" s="24"/>
      <c r="G128" s="24"/>
      <c r="H128" s="24"/>
      <c r="I128" s="166">
        <f>DQ121</f>
        <v>120737</v>
      </c>
      <c r="J128" s="167"/>
    </row>
    <row r="129" spans="1:255" hidden="1" x14ac:dyDescent="0.2">
      <c r="C129" s="24" t="s">
        <v>417</v>
      </c>
      <c r="D129" s="24"/>
      <c r="E129" s="24"/>
      <c r="F129" s="24"/>
      <c r="G129" s="24"/>
      <c r="H129" s="24"/>
      <c r="I129" s="166">
        <f>DR121</f>
        <v>0</v>
      </c>
      <c r="J129" s="167"/>
    </row>
    <row r="130" spans="1:255" hidden="1" x14ac:dyDescent="0.2">
      <c r="C130" s="24" t="s">
        <v>418</v>
      </c>
      <c r="D130" s="24"/>
      <c r="E130" s="24"/>
      <c r="F130" s="24"/>
      <c r="G130" s="24"/>
      <c r="H130" s="24"/>
      <c r="I130" s="166">
        <f>DS121</f>
        <v>0</v>
      </c>
      <c r="J130" s="167"/>
    </row>
    <row r="131" spans="1:255" hidden="1" x14ac:dyDescent="0.2">
      <c r="C131" s="24" t="s">
        <v>419</v>
      </c>
      <c r="D131" s="24"/>
      <c r="E131" s="24"/>
      <c r="F131" s="24"/>
      <c r="G131" s="24"/>
      <c r="H131" s="24"/>
      <c r="I131" s="166">
        <f>DT121</f>
        <v>0</v>
      </c>
      <c r="J131" s="167"/>
    </row>
    <row r="132" spans="1:255" x14ac:dyDescent="0.2">
      <c r="C132" s="24"/>
      <c r="D132" s="24"/>
      <c r="E132" s="24"/>
      <c r="F132" s="24"/>
      <c r="G132" s="24"/>
      <c r="H132" s="24"/>
      <c r="I132" s="24"/>
      <c r="V132" s="23"/>
      <c r="W132" s="23"/>
      <c r="X132" s="23"/>
      <c r="Y132" s="23">
        <v>513</v>
      </c>
      <c r="Z132" s="23" t="s">
        <v>425</v>
      </c>
      <c r="AA132" s="23"/>
      <c r="AB132" s="23" t="s">
        <v>374</v>
      </c>
      <c r="AC132" s="23" t="str">
        <f>Source!G63</f>
        <v>Новая локальная смета</v>
      </c>
      <c r="AD132" s="23">
        <f>J134</f>
        <v>818597</v>
      </c>
      <c r="AE132" s="23">
        <f>J135</f>
        <v>0</v>
      </c>
      <c r="AF132" s="23">
        <f>J136</f>
        <v>0</v>
      </c>
      <c r="AG132" s="23">
        <f>J137</f>
        <v>0</v>
      </c>
      <c r="AH132" s="49">
        <f>J138</f>
        <v>818597</v>
      </c>
      <c r="AI132" s="49">
        <f>J139</f>
        <v>818597</v>
      </c>
      <c r="AJ132" s="23">
        <f>Source!S63*BM132</f>
        <v>16547</v>
      </c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49">
        <f>J141</f>
        <v>818597</v>
      </c>
      <c r="BH132" s="23">
        <f>J142</f>
        <v>163719.4</v>
      </c>
      <c r="BI132" s="49">
        <f>J143</f>
        <v>982316.4</v>
      </c>
      <c r="BJ132" s="23"/>
      <c r="BK132" s="23"/>
      <c r="BL132" s="23">
        <f>Source!R63*BM132</f>
        <v>997</v>
      </c>
      <c r="BM132" s="23">
        <v>1</v>
      </c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</row>
    <row r="133" spans="1:255" ht="33.75" x14ac:dyDescent="0.2">
      <c r="A133" s="46"/>
      <c r="B133" s="46"/>
      <c r="C133" s="168" t="s">
        <v>420</v>
      </c>
      <c r="D133" s="169"/>
      <c r="E133" s="169"/>
      <c r="F133" s="47" t="s">
        <v>421</v>
      </c>
      <c r="G133" s="168" t="s">
        <v>422</v>
      </c>
      <c r="H133" s="169"/>
      <c r="I133" s="47" t="s">
        <v>423</v>
      </c>
      <c r="J133" s="48" t="s">
        <v>424</v>
      </c>
    </row>
    <row r="134" spans="1:255" x14ac:dyDescent="0.2">
      <c r="A134" s="13"/>
      <c r="B134" s="50"/>
      <c r="C134" s="51" t="s">
        <v>426</v>
      </c>
      <c r="D134" s="52"/>
      <c r="E134" s="52"/>
      <c r="F134" s="53">
        <f>Source!AS63</f>
        <v>120737</v>
      </c>
      <c r="G134" s="54">
        <v>1</v>
      </c>
      <c r="H134" s="54">
        <v>1</v>
      </c>
      <c r="I134" s="54">
        <v>6.78</v>
      </c>
      <c r="J134" s="55">
        <f>ROUND(F134*G134*H134*I134,0)</f>
        <v>818597</v>
      </c>
    </row>
    <row r="135" spans="1:255" hidden="1" x14ac:dyDescent="0.2">
      <c r="A135" s="13"/>
      <c r="B135" s="50"/>
      <c r="C135" s="51" t="s">
        <v>427</v>
      </c>
      <c r="D135" s="52"/>
      <c r="E135" s="52"/>
      <c r="F135" s="53">
        <f>Source!AT63</f>
        <v>0</v>
      </c>
      <c r="G135" s="54">
        <v>1</v>
      </c>
      <c r="H135" s="54">
        <v>1</v>
      </c>
      <c r="I135" s="54">
        <v>6.78</v>
      </c>
      <c r="J135" s="55">
        <f>ROUND(F135*G135*H135*I135,0)</f>
        <v>0</v>
      </c>
    </row>
    <row r="136" spans="1:255" hidden="1" x14ac:dyDescent="0.2">
      <c r="A136" s="13"/>
      <c r="B136" s="50"/>
      <c r="C136" s="51" t="s">
        <v>428</v>
      </c>
      <c r="D136" s="52"/>
      <c r="E136" s="52"/>
      <c r="F136" s="53">
        <f>Source!AP63</f>
        <v>0</v>
      </c>
      <c r="G136" s="54">
        <v>1</v>
      </c>
      <c r="H136" s="54">
        <v>1</v>
      </c>
      <c r="I136" s="54">
        <v>6.78</v>
      </c>
      <c r="J136" s="55">
        <f>ROUND(F136*G136*H136*I136,0)</f>
        <v>0</v>
      </c>
    </row>
    <row r="137" spans="1:255" hidden="1" x14ac:dyDescent="0.2">
      <c r="A137" s="13"/>
      <c r="B137" s="50"/>
      <c r="C137" s="51" t="s">
        <v>141</v>
      </c>
      <c r="D137" s="52"/>
      <c r="E137" s="52"/>
      <c r="F137" s="53">
        <f>Source!AU63</f>
        <v>0</v>
      </c>
      <c r="G137" s="54">
        <v>1</v>
      </c>
      <c r="H137" s="54">
        <v>1</v>
      </c>
      <c r="I137" s="54">
        <v>6.78</v>
      </c>
      <c r="J137" s="55">
        <f>ROUND(F137*G137*H137*I137,0)</f>
        <v>0</v>
      </c>
    </row>
    <row r="138" spans="1:255" hidden="1" x14ac:dyDescent="0.2">
      <c r="A138" s="13"/>
      <c r="B138" s="50"/>
      <c r="C138" s="51" t="s">
        <v>429</v>
      </c>
      <c r="D138" s="52"/>
      <c r="E138" s="52"/>
      <c r="F138" s="53">
        <f>SUM(F134:F137)</f>
        <v>120737</v>
      </c>
      <c r="G138" s="54"/>
      <c r="H138" s="54"/>
      <c r="I138" s="54"/>
      <c r="J138" s="55">
        <f>SUM(J134:J137)</f>
        <v>818597</v>
      </c>
    </row>
    <row r="139" spans="1:255" hidden="1" x14ac:dyDescent="0.2">
      <c r="A139" s="13"/>
      <c r="B139" s="50"/>
      <c r="C139" s="51" t="s">
        <v>430</v>
      </c>
      <c r="D139" s="52"/>
      <c r="E139" s="52"/>
      <c r="F139" s="53">
        <f>F134+F135</f>
        <v>120737</v>
      </c>
      <c r="G139" s="54"/>
      <c r="H139" s="54"/>
      <c r="I139" s="54"/>
      <c r="J139" s="55">
        <f>J134+J135</f>
        <v>818597</v>
      </c>
    </row>
    <row r="140" spans="1:255" x14ac:dyDescent="0.2">
      <c r="A140" s="13"/>
      <c r="B140" s="13"/>
      <c r="C140" s="56"/>
      <c r="D140" s="52"/>
      <c r="E140" s="52"/>
      <c r="F140" s="56"/>
      <c r="G140" s="56"/>
      <c r="H140" s="56"/>
      <c r="I140" s="56"/>
      <c r="J140" s="43"/>
    </row>
    <row r="141" spans="1:255" x14ac:dyDescent="0.2">
      <c r="A141" s="13"/>
      <c r="B141" s="50"/>
      <c r="C141" s="145" t="s">
        <v>431</v>
      </c>
      <c r="D141" s="146"/>
      <c r="E141" s="146"/>
      <c r="F141" s="147">
        <f>F139+F136+F137</f>
        <v>120737</v>
      </c>
      <c r="G141" s="148"/>
      <c r="H141" s="148"/>
      <c r="I141" s="148"/>
      <c r="J141" s="149">
        <f>J139+J136+J137</f>
        <v>818597</v>
      </c>
    </row>
    <row r="142" spans="1:255" hidden="1" x14ac:dyDescent="0.2">
      <c r="A142" s="13"/>
      <c r="B142" s="50"/>
      <c r="C142" s="51" t="s">
        <v>432</v>
      </c>
      <c r="D142" s="52"/>
      <c r="E142" s="52"/>
      <c r="F142" s="53"/>
      <c r="G142" s="54"/>
      <c r="H142" s="54">
        <v>20</v>
      </c>
      <c r="I142" s="57" t="s">
        <v>433</v>
      </c>
      <c r="J142" s="62">
        <f>ROUND(H142*J141/100,2)</f>
        <v>163719.4</v>
      </c>
    </row>
    <row r="143" spans="1:255" hidden="1" x14ac:dyDescent="0.2">
      <c r="A143" s="13"/>
      <c r="B143" s="50"/>
      <c r="C143" s="58" t="s">
        <v>434</v>
      </c>
      <c r="D143" s="59"/>
      <c r="E143" s="59"/>
      <c r="F143" s="60"/>
      <c r="G143" s="61"/>
      <c r="H143" s="61"/>
      <c r="I143" s="61"/>
      <c r="J143" s="63">
        <f>SUM(J141:J142)</f>
        <v>982316.4</v>
      </c>
    </row>
    <row r="144" spans="1:255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255" hidden="1" outlineLevel="1" x14ac:dyDescent="0.2"/>
    <row r="146" spans="1:255" hidden="1" outlineLevel="1" x14ac:dyDescent="0.2"/>
    <row r="147" spans="1:255" hidden="1" outlineLevel="1" x14ac:dyDescent="0.2">
      <c r="A147" s="64" t="s">
        <v>435</v>
      </c>
      <c r="B147" s="64"/>
      <c r="C147" s="156"/>
      <c r="D147" s="156"/>
      <c r="E147" s="156"/>
      <c r="F147" s="156"/>
      <c r="G147" s="65"/>
      <c r="H147" s="65"/>
      <c r="I147" s="156"/>
      <c r="J147" s="156"/>
      <c r="BY147" s="66">
        <f>C147</f>
        <v>0</v>
      </c>
      <c r="BZ147" s="66">
        <f>I147</f>
        <v>0</v>
      </c>
      <c r="IU147" s="23"/>
    </row>
    <row r="148" spans="1:255" s="68" customFormat="1" ht="11.25" hidden="1" outlineLevel="1" x14ac:dyDescent="0.2">
      <c r="A148" s="67"/>
      <c r="B148" s="67"/>
      <c r="C148" s="165" t="s">
        <v>436</v>
      </c>
      <c r="D148" s="165"/>
      <c r="E148" s="165"/>
      <c r="F148" s="165"/>
      <c r="G148" s="165"/>
      <c r="H148" s="165"/>
      <c r="I148" s="165" t="s">
        <v>437</v>
      </c>
      <c r="J148" s="165"/>
    </row>
    <row r="149" spans="1:255" hidden="1" outlineLevel="1" x14ac:dyDescent="0.2">
      <c r="A149" s="18"/>
      <c r="B149" s="18"/>
      <c r="C149" s="18"/>
      <c r="D149" s="18"/>
      <c r="E149" s="18"/>
      <c r="F149" s="18"/>
      <c r="G149" s="11" t="s">
        <v>438</v>
      </c>
      <c r="H149" s="18"/>
      <c r="I149" s="18"/>
      <c r="J149" s="18"/>
    </row>
    <row r="150" spans="1:255" hidden="1" outlineLevel="1" x14ac:dyDescent="0.2">
      <c r="A150" s="64" t="s">
        <v>439</v>
      </c>
      <c r="B150" s="64"/>
      <c r="C150" s="156"/>
      <c r="D150" s="156"/>
      <c r="E150" s="156"/>
      <c r="F150" s="156"/>
      <c r="G150" s="65"/>
      <c r="H150" s="65"/>
      <c r="I150" s="156"/>
      <c r="J150" s="156"/>
      <c r="BY150" s="66">
        <f>C150</f>
        <v>0</v>
      </c>
      <c r="BZ150" s="66">
        <f>I150</f>
        <v>0</v>
      </c>
      <c r="IU150" s="23"/>
    </row>
    <row r="151" spans="1:255" s="68" customFormat="1" ht="11.25" hidden="1" outlineLevel="1" x14ac:dyDescent="0.2">
      <c r="A151" s="67"/>
      <c r="B151" s="67"/>
      <c r="C151" s="165" t="s">
        <v>436</v>
      </c>
      <c r="D151" s="165"/>
      <c r="E151" s="165"/>
      <c r="F151" s="165"/>
      <c r="G151" s="165"/>
      <c r="H151" s="165"/>
      <c r="I151" s="165" t="s">
        <v>437</v>
      </c>
      <c r="J151" s="165"/>
    </row>
    <row r="152" spans="1:255" hidden="1" outlineLevel="1" x14ac:dyDescent="0.2">
      <c r="A152" s="18"/>
      <c r="B152" s="18"/>
      <c r="C152" s="18"/>
      <c r="D152" s="18"/>
      <c r="E152" s="18"/>
      <c r="F152" s="18"/>
      <c r="G152" s="11" t="s">
        <v>438</v>
      </c>
      <c r="H152" s="18"/>
      <c r="I152" s="18"/>
      <c r="J152" s="18"/>
    </row>
    <row r="153" spans="1:255" hidden="1" collapsed="1" x14ac:dyDescent="0.2"/>
    <row r="154" spans="1:255" hidden="1" outlineLevel="1" x14ac:dyDescent="0.2"/>
    <row r="155" spans="1:255" outlineLevel="1" x14ac:dyDescent="0.2"/>
    <row r="156" spans="1:255" outlineLevel="1" x14ac:dyDescent="0.2">
      <c r="A156" s="64" t="s">
        <v>349</v>
      </c>
      <c r="B156" s="64"/>
      <c r="C156" s="156"/>
      <c r="D156" s="156"/>
      <c r="E156" s="156"/>
      <c r="F156" s="156"/>
      <c r="G156" s="65"/>
      <c r="H156" s="65"/>
      <c r="I156" s="156"/>
      <c r="J156" s="156"/>
      <c r="BY156" s="66">
        <f>C156</f>
        <v>0</v>
      </c>
      <c r="BZ156" s="66">
        <f>I156</f>
        <v>0</v>
      </c>
      <c r="IU156" s="23"/>
    </row>
    <row r="157" spans="1:255" s="68" customFormat="1" ht="11.25" outlineLevel="1" x14ac:dyDescent="0.2">
      <c r="A157" s="67"/>
      <c r="B157" s="67"/>
      <c r="C157" s="165" t="s">
        <v>436</v>
      </c>
      <c r="D157" s="165"/>
      <c r="E157" s="165"/>
      <c r="F157" s="165"/>
      <c r="G157" s="165"/>
      <c r="H157" s="165"/>
      <c r="I157" s="165" t="s">
        <v>437</v>
      </c>
      <c r="J157" s="165"/>
    </row>
    <row r="158" spans="1:255" outlineLevel="1" x14ac:dyDescent="0.2">
      <c r="A158" s="18"/>
      <c r="B158" s="18"/>
      <c r="C158" s="18"/>
      <c r="D158" s="18"/>
      <c r="E158" s="18"/>
      <c r="F158" s="18"/>
      <c r="G158" s="11" t="s">
        <v>438</v>
      </c>
      <c r="H158" s="18"/>
      <c r="I158" s="18"/>
      <c r="J158" s="18"/>
    </row>
    <row r="159" spans="1:255" outlineLevel="1" x14ac:dyDescent="0.2">
      <c r="A159" s="64" t="s">
        <v>489</v>
      </c>
      <c r="B159" s="64"/>
      <c r="C159" s="156"/>
      <c r="D159" s="156"/>
      <c r="E159" s="156"/>
      <c r="F159" s="156"/>
      <c r="G159" s="65"/>
      <c r="H159" s="65"/>
      <c r="I159" s="156"/>
      <c r="J159" s="156"/>
      <c r="BY159" s="66">
        <f>C159</f>
        <v>0</v>
      </c>
      <c r="BZ159" s="66">
        <f>I159</f>
        <v>0</v>
      </c>
      <c r="IU159" s="23"/>
    </row>
    <row r="160" spans="1:255" s="68" customFormat="1" ht="11.25" outlineLevel="1" x14ac:dyDescent="0.2">
      <c r="A160" s="67"/>
      <c r="B160" s="67"/>
      <c r="C160" s="165" t="s">
        <v>436</v>
      </c>
      <c r="D160" s="165"/>
      <c r="E160" s="165"/>
      <c r="F160" s="165"/>
      <c r="G160" s="165"/>
      <c r="H160" s="165"/>
      <c r="I160" s="165" t="s">
        <v>437</v>
      </c>
      <c r="J160" s="165"/>
    </row>
    <row r="161" spans="1:255" outlineLevel="1" x14ac:dyDescent="0.2">
      <c r="A161" s="18"/>
      <c r="B161" s="18"/>
      <c r="C161" s="18"/>
      <c r="D161" s="18"/>
      <c r="E161" s="18"/>
      <c r="F161" s="18"/>
      <c r="G161" s="11" t="s">
        <v>438</v>
      </c>
      <c r="H161" s="18"/>
      <c r="I161" s="18"/>
      <c r="J161" s="18"/>
    </row>
    <row r="163" spans="1:255" x14ac:dyDescent="0.2">
      <c r="Y163" s="23">
        <v>999</v>
      </c>
      <c r="Z163" s="23" t="s">
        <v>446</v>
      </c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</row>
  </sheetData>
  <mergeCells count="70">
    <mergeCell ref="C7:I7"/>
    <mergeCell ref="L7:M7"/>
    <mergeCell ref="J2:M2"/>
    <mergeCell ref="J3:M3"/>
    <mergeCell ref="J4:M4"/>
    <mergeCell ref="L5:M5"/>
    <mergeCell ref="L6:M6"/>
    <mergeCell ref="C8:I8"/>
    <mergeCell ref="L8:M8"/>
    <mergeCell ref="C9:I9"/>
    <mergeCell ref="L9:M9"/>
    <mergeCell ref="C10:I10"/>
    <mergeCell ref="L10:M10"/>
    <mergeCell ref="C11:I11"/>
    <mergeCell ref="L11:M11"/>
    <mergeCell ref="C12:I12"/>
    <mergeCell ref="L12:M12"/>
    <mergeCell ref="C13:I13"/>
    <mergeCell ref="L13:M13"/>
    <mergeCell ref="C30:M30"/>
    <mergeCell ref="I14:J14"/>
    <mergeCell ref="L14:M14"/>
    <mergeCell ref="L15:M15"/>
    <mergeCell ref="L16:M16"/>
    <mergeCell ref="I18:I19"/>
    <mergeCell ref="J18:J19"/>
    <mergeCell ref="K18:L18"/>
    <mergeCell ref="C20:H20"/>
    <mergeCell ref="C21:H21"/>
    <mergeCell ref="A22:M22"/>
    <mergeCell ref="A23:M23"/>
    <mergeCell ref="E26:F26"/>
    <mergeCell ref="C31:M31"/>
    <mergeCell ref="C32:M32"/>
    <mergeCell ref="A34:M34"/>
    <mergeCell ref="A35:M35"/>
    <mergeCell ref="C37:M37"/>
    <mergeCell ref="I129:J129"/>
    <mergeCell ref="G43:I43"/>
    <mergeCell ref="J42:M42"/>
    <mergeCell ref="K43:M43"/>
    <mergeCell ref="I121:J121"/>
    <mergeCell ref="I122:J122"/>
    <mergeCell ref="I123:J123"/>
    <mergeCell ref="F42:I42"/>
    <mergeCell ref="I124:J124"/>
    <mergeCell ref="I125:J125"/>
    <mergeCell ref="I126:J126"/>
    <mergeCell ref="I127:J127"/>
    <mergeCell ref="I128:J128"/>
    <mergeCell ref="I130:J130"/>
    <mergeCell ref="I131:J131"/>
    <mergeCell ref="C133:E133"/>
    <mergeCell ref="G133:H133"/>
    <mergeCell ref="C147:F147"/>
    <mergeCell ref="I147:J147"/>
    <mergeCell ref="C148:H148"/>
    <mergeCell ref="I148:J148"/>
    <mergeCell ref="C150:F150"/>
    <mergeCell ref="I150:J150"/>
    <mergeCell ref="C151:H151"/>
    <mergeCell ref="I151:J151"/>
    <mergeCell ref="C160:H160"/>
    <mergeCell ref="I160:J160"/>
    <mergeCell ref="C156:F156"/>
    <mergeCell ref="I156:J156"/>
    <mergeCell ref="C157:H157"/>
    <mergeCell ref="I157:J157"/>
    <mergeCell ref="C159:F159"/>
    <mergeCell ref="I159:J159"/>
  </mergeCells>
  <printOptions horizontalCentered="1"/>
  <pageMargins left="0.39370078740157499" right="0.39370078740157499" top="1.1811023622047201" bottom="0.39370078740157499" header="0" footer="0"/>
  <pageSetup paperSize="9" scale="81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1"/>
  <sheetViews>
    <sheetView workbookViewId="0">
      <selection activeCell="A157" sqref="A157:AH157"/>
    </sheetView>
  </sheetViews>
  <sheetFormatPr defaultColWidth="9.140625" defaultRowHeight="12.75" x14ac:dyDescent="0.2"/>
  <cols>
    <col min="1" max="256" width="9.140625" customWidth="1"/>
  </cols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35951</v>
      </c>
      <c r="M1">
        <v>10</v>
      </c>
      <c r="IF1">
        <v>-1</v>
      </c>
    </row>
    <row r="2" spans="1:240" x14ac:dyDescent="0.2">
      <c r="G2" s="42">
        <f>'2.Материалы'!G49</f>
        <v>516361</v>
      </c>
      <c r="H2" t="s">
        <v>486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2</v>
      </c>
      <c r="H5" t="s">
        <v>329</v>
      </c>
      <c r="IF5">
        <v>-1</v>
      </c>
    </row>
    <row r="6" spans="1:240" x14ac:dyDescent="0.2">
      <c r="G6">
        <v>10</v>
      </c>
      <c r="H6" t="s">
        <v>325</v>
      </c>
      <c r="IF6">
        <v>-1</v>
      </c>
    </row>
    <row r="7" spans="1:240" x14ac:dyDescent="0.2">
      <c r="G7">
        <v>2</v>
      </c>
      <c r="H7" t="s">
        <v>326</v>
      </c>
      <c r="IF7">
        <v>-1</v>
      </c>
    </row>
    <row r="8" spans="1:240" x14ac:dyDescent="0.2">
      <c r="IF8">
        <v>-1</v>
      </c>
    </row>
    <row r="9" spans="1:240" x14ac:dyDescent="0.2">
      <c r="G9" s="12" t="s">
        <v>327</v>
      </c>
      <c r="H9" t="s">
        <v>328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155</v>
      </c>
      <c r="C12" s="1">
        <v>0</v>
      </c>
      <c r="D12" s="1">
        <f>ROW(A92)</f>
        <v>92</v>
      </c>
      <c r="E12" s="1">
        <v>0</v>
      </c>
      <c r="F12" s="1" t="s">
        <v>4</v>
      </c>
      <c r="G12" s="1" t="s">
        <v>4</v>
      </c>
      <c r="H12" s="1" t="s">
        <v>5</v>
      </c>
      <c r="I12" s="1">
        <v>0</v>
      </c>
      <c r="J12" s="1" t="s">
        <v>5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5</v>
      </c>
      <c r="V12" s="1">
        <v>0</v>
      </c>
      <c r="W12" s="1" t="s">
        <v>5</v>
      </c>
      <c r="X12" s="1" t="s">
        <v>5</v>
      </c>
      <c r="Y12" s="1" t="s">
        <v>5</v>
      </c>
      <c r="Z12" s="1" t="s">
        <v>5</v>
      </c>
      <c r="AA12" s="1" t="s">
        <v>5</v>
      </c>
      <c r="AB12" s="1" t="s">
        <v>5</v>
      </c>
      <c r="AC12" s="1" t="s">
        <v>5</v>
      </c>
      <c r="AD12" s="1" t="s">
        <v>5</v>
      </c>
      <c r="AE12" s="1" t="s">
        <v>5</v>
      </c>
      <c r="AF12" s="1" t="s">
        <v>5</v>
      </c>
      <c r="AG12" s="1" t="s">
        <v>5</v>
      </c>
      <c r="AH12" s="1" t="s">
        <v>5</v>
      </c>
      <c r="AI12" s="1" t="s">
        <v>5</v>
      </c>
      <c r="AJ12" s="1" t="s">
        <v>5</v>
      </c>
      <c r="AK12" s="1"/>
      <c r="AL12" s="1" t="s">
        <v>5</v>
      </c>
      <c r="AM12" s="1" t="s">
        <v>5</v>
      </c>
      <c r="AN12" s="1" t="s">
        <v>5</v>
      </c>
      <c r="AO12" s="1"/>
      <c r="AP12" s="1" t="s">
        <v>5</v>
      </c>
      <c r="AQ12" s="1" t="s">
        <v>5</v>
      </c>
      <c r="AR12" s="1" t="s">
        <v>5</v>
      </c>
      <c r="AS12" s="1"/>
      <c r="AT12" s="1"/>
      <c r="AU12" s="1"/>
      <c r="AV12" s="1"/>
      <c r="AW12" s="1"/>
      <c r="AX12" s="1" t="s">
        <v>5</v>
      </c>
      <c r="AY12" s="1" t="s">
        <v>5</v>
      </c>
      <c r="AZ12" s="1" t="s">
        <v>5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5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565256</v>
      </c>
      <c r="CI12" s="1" t="s">
        <v>5</v>
      </c>
      <c r="CJ12" s="1" t="s">
        <v>5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B92</f>
        <v>155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Новый объект</v>
      </c>
      <c r="H18" s="3"/>
      <c r="I18" s="3"/>
      <c r="J18" s="3"/>
      <c r="K18" s="3"/>
      <c r="L18" s="3"/>
      <c r="M18" s="3"/>
      <c r="N18" s="3"/>
      <c r="O18" s="3">
        <f t="shared" ref="O18:AT18" si="1">O92</f>
        <v>93765</v>
      </c>
      <c r="P18" s="3">
        <f t="shared" si="1"/>
        <v>74666</v>
      </c>
      <c r="Q18" s="3">
        <f t="shared" si="1"/>
        <v>2552</v>
      </c>
      <c r="R18" s="3">
        <f t="shared" si="1"/>
        <v>997</v>
      </c>
      <c r="S18" s="3">
        <f t="shared" si="1"/>
        <v>16547</v>
      </c>
      <c r="T18" s="3">
        <f t="shared" si="1"/>
        <v>0</v>
      </c>
      <c r="U18" s="3">
        <f t="shared" si="1"/>
        <v>1775.4655209999999</v>
      </c>
      <c r="V18" s="3">
        <f t="shared" si="1"/>
        <v>85.893817000000013</v>
      </c>
      <c r="W18" s="3">
        <f t="shared" si="1"/>
        <v>0</v>
      </c>
      <c r="X18" s="3">
        <f t="shared" si="1"/>
        <v>17249</v>
      </c>
      <c r="Y18" s="3">
        <f t="shared" si="1"/>
        <v>9723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120737</v>
      </c>
      <c r="AS18" s="3">
        <f t="shared" si="1"/>
        <v>120737</v>
      </c>
      <c r="AT18" s="3">
        <f t="shared" si="1"/>
        <v>0</v>
      </c>
      <c r="AU18" s="3">
        <f t="shared" ref="AU18:BZ18" si="2">AU92</f>
        <v>0</v>
      </c>
      <c r="AV18" s="3">
        <f t="shared" si="2"/>
        <v>74666</v>
      </c>
      <c r="AW18" s="3">
        <f t="shared" si="2"/>
        <v>74666</v>
      </c>
      <c r="AX18" s="3">
        <f t="shared" si="2"/>
        <v>0</v>
      </c>
      <c r="AY18" s="3">
        <f t="shared" si="2"/>
        <v>74666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CA92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DG92</f>
        <v>635727</v>
      </c>
      <c r="DH18" s="4">
        <f t="shared" si="4"/>
        <v>506233</v>
      </c>
      <c r="DI18" s="4">
        <f t="shared" si="4"/>
        <v>17309</v>
      </c>
      <c r="DJ18" s="4">
        <f t="shared" si="4"/>
        <v>6756</v>
      </c>
      <c r="DK18" s="4">
        <f t="shared" si="4"/>
        <v>112185</v>
      </c>
      <c r="DL18" s="4">
        <f t="shared" si="4"/>
        <v>0</v>
      </c>
      <c r="DM18" s="4">
        <f t="shared" si="4"/>
        <v>1775.4655209999999</v>
      </c>
      <c r="DN18" s="4">
        <f t="shared" si="4"/>
        <v>85.893817000000013</v>
      </c>
      <c r="DO18" s="4">
        <f t="shared" si="4"/>
        <v>0</v>
      </c>
      <c r="DP18" s="4">
        <f t="shared" si="4"/>
        <v>116939</v>
      </c>
      <c r="DQ18" s="4">
        <f t="shared" si="4"/>
        <v>65911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818577</v>
      </c>
      <c r="EK18" s="4">
        <f t="shared" si="4"/>
        <v>818577</v>
      </c>
      <c r="EL18" s="4">
        <f t="shared" si="4"/>
        <v>0</v>
      </c>
      <c r="EM18" s="4">
        <f t="shared" ref="EM18:FR18" si="5">EM92</f>
        <v>0</v>
      </c>
      <c r="EN18" s="4">
        <f t="shared" si="5"/>
        <v>506233</v>
      </c>
      <c r="EO18" s="4">
        <f t="shared" si="5"/>
        <v>506233</v>
      </c>
      <c r="EP18" s="4">
        <f t="shared" si="5"/>
        <v>0</v>
      </c>
      <c r="EQ18" s="4">
        <f t="shared" si="5"/>
        <v>506233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FS92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ROW(A63)</f>
        <v>63</v>
      </c>
      <c r="E20" s="1"/>
      <c r="F20" s="1" t="s">
        <v>11</v>
      </c>
      <c r="G20" s="1" t="s">
        <v>11</v>
      </c>
      <c r="H20" s="1" t="s">
        <v>5</v>
      </c>
      <c r="I20" s="1">
        <v>0</v>
      </c>
      <c r="J20" s="1" t="s">
        <v>5</v>
      </c>
      <c r="K20" s="1">
        <v>0</v>
      </c>
      <c r="L20" s="1" t="s">
        <v>5</v>
      </c>
      <c r="M20" s="1"/>
      <c r="N20" s="1"/>
      <c r="O20" s="1"/>
      <c r="P20" s="1"/>
      <c r="Q20" s="1"/>
      <c r="R20" s="1"/>
      <c r="S20" s="1"/>
      <c r="T20" s="1"/>
      <c r="U20" s="1" t="s">
        <v>5</v>
      </c>
      <c r="V20" s="1">
        <v>0</v>
      </c>
      <c r="W20" s="1"/>
      <c r="X20" s="1"/>
      <c r="Y20" s="1"/>
      <c r="Z20" s="1"/>
      <c r="AA20" s="1"/>
      <c r="AB20" s="1" t="s">
        <v>5</v>
      </c>
      <c r="AC20" s="1" t="s">
        <v>5</v>
      </c>
      <c r="AD20" s="1" t="s">
        <v>5</v>
      </c>
      <c r="AE20" s="1" t="s">
        <v>5</v>
      </c>
      <c r="AF20" s="1" t="s">
        <v>5</v>
      </c>
      <c r="AG20" s="1" t="s">
        <v>5</v>
      </c>
      <c r="AH20" s="1"/>
      <c r="AI20" s="1"/>
      <c r="AJ20" s="1"/>
      <c r="AK20" s="1"/>
      <c r="AL20" s="1"/>
      <c r="AM20" s="1"/>
      <c r="AN20" s="1"/>
      <c r="AO20" s="1"/>
      <c r="AP20" s="1" t="s">
        <v>5</v>
      </c>
      <c r="AQ20" s="1" t="s">
        <v>5</v>
      </c>
      <c r="AR20" s="1" t="s">
        <v>5</v>
      </c>
      <c r="AS20" s="1"/>
      <c r="AT20" s="1"/>
      <c r="AU20" s="1"/>
      <c r="AV20" s="1"/>
      <c r="AW20" s="1"/>
      <c r="AX20" s="1"/>
      <c r="AY20" s="1"/>
      <c r="AZ20" s="1" t="s">
        <v>5</v>
      </c>
      <c r="BA20" s="1"/>
      <c r="BB20" s="1" t="s">
        <v>5</v>
      </c>
      <c r="BC20" s="1" t="s">
        <v>5</v>
      </c>
      <c r="BD20" s="1" t="s">
        <v>5</v>
      </c>
      <c r="BE20" s="1" t="s">
        <v>5</v>
      </c>
      <c r="BF20" s="1" t="s">
        <v>5</v>
      </c>
      <c r="BG20" s="1" t="s">
        <v>5</v>
      </c>
      <c r="BH20" s="1" t="s">
        <v>5</v>
      </c>
      <c r="BI20" s="1" t="s">
        <v>5</v>
      </c>
      <c r="BJ20" s="1" t="s">
        <v>5</v>
      </c>
      <c r="BK20" s="1" t="s">
        <v>5</v>
      </c>
      <c r="BL20" s="1" t="s">
        <v>5</v>
      </c>
      <c r="BM20" s="1" t="s">
        <v>5</v>
      </c>
      <c r="BN20" s="1" t="s">
        <v>5</v>
      </c>
      <c r="BO20" s="1" t="s">
        <v>5</v>
      </c>
      <c r="BP20" s="1" t="s">
        <v>5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5</v>
      </c>
      <c r="CJ20" s="1" t="s">
        <v>5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B63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O63</f>
        <v>93765</v>
      </c>
      <c r="P22" s="3">
        <f t="shared" si="8"/>
        <v>74666</v>
      </c>
      <c r="Q22" s="3">
        <f t="shared" si="8"/>
        <v>2552</v>
      </c>
      <c r="R22" s="3">
        <f t="shared" si="8"/>
        <v>997</v>
      </c>
      <c r="S22" s="3">
        <f t="shared" si="8"/>
        <v>16547</v>
      </c>
      <c r="T22" s="3">
        <f t="shared" si="8"/>
        <v>0</v>
      </c>
      <c r="U22" s="3">
        <f t="shared" si="8"/>
        <v>1775.4655209999999</v>
      </c>
      <c r="V22" s="3">
        <f t="shared" si="8"/>
        <v>85.893817000000013</v>
      </c>
      <c r="W22" s="3">
        <f t="shared" si="8"/>
        <v>0</v>
      </c>
      <c r="X22" s="3">
        <f t="shared" si="8"/>
        <v>17249</v>
      </c>
      <c r="Y22" s="3">
        <f t="shared" si="8"/>
        <v>9723</v>
      </c>
      <c r="Z22" s="3">
        <f t="shared" si="8"/>
        <v>0</v>
      </c>
      <c r="AA22" s="3">
        <f t="shared" si="8"/>
        <v>0</v>
      </c>
      <c r="AB22" s="3">
        <f t="shared" si="8"/>
        <v>93765</v>
      </c>
      <c r="AC22" s="3">
        <f t="shared" si="8"/>
        <v>74666</v>
      </c>
      <c r="AD22" s="3">
        <f t="shared" si="8"/>
        <v>2552</v>
      </c>
      <c r="AE22" s="3">
        <f t="shared" si="8"/>
        <v>997</v>
      </c>
      <c r="AF22" s="3">
        <f t="shared" si="8"/>
        <v>16547</v>
      </c>
      <c r="AG22" s="3">
        <f t="shared" si="8"/>
        <v>0</v>
      </c>
      <c r="AH22" s="3">
        <f t="shared" si="8"/>
        <v>1775.4655209999999</v>
      </c>
      <c r="AI22" s="3">
        <f t="shared" si="8"/>
        <v>85.893817000000013</v>
      </c>
      <c r="AJ22" s="3">
        <f t="shared" si="8"/>
        <v>0</v>
      </c>
      <c r="AK22" s="3">
        <f t="shared" si="8"/>
        <v>17249</v>
      </c>
      <c r="AL22" s="3">
        <f t="shared" si="8"/>
        <v>9723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120737</v>
      </c>
      <c r="AS22" s="3">
        <f t="shared" si="8"/>
        <v>120737</v>
      </c>
      <c r="AT22" s="3">
        <f t="shared" si="8"/>
        <v>0</v>
      </c>
      <c r="AU22" s="3">
        <f t="shared" ref="AU22:BZ22" si="9">AU63</f>
        <v>0</v>
      </c>
      <c r="AV22" s="3">
        <f t="shared" si="9"/>
        <v>74666</v>
      </c>
      <c r="AW22" s="3">
        <f t="shared" si="9"/>
        <v>74666</v>
      </c>
      <c r="AX22" s="3">
        <f t="shared" si="9"/>
        <v>0</v>
      </c>
      <c r="AY22" s="3">
        <f t="shared" si="9"/>
        <v>74666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CA63</f>
        <v>120737</v>
      </c>
      <c r="CB22" s="3">
        <f t="shared" si="10"/>
        <v>120737</v>
      </c>
      <c r="CC22" s="3">
        <f t="shared" si="10"/>
        <v>0</v>
      </c>
      <c r="CD22" s="3">
        <f t="shared" si="10"/>
        <v>0</v>
      </c>
      <c r="CE22" s="3">
        <f t="shared" si="10"/>
        <v>74666</v>
      </c>
      <c r="CF22" s="3">
        <f t="shared" si="10"/>
        <v>74666</v>
      </c>
      <c r="CG22" s="3">
        <f t="shared" si="10"/>
        <v>0</v>
      </c>
      <c r="CH22" s="3">
        <f t="shared" si="10"/>
        <v>74666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DG63</f>
        <v>635727</v>
      </c>
      <c r="DH22" s="4">
        <f t="shared" si="11"/>
        <v>506233</v>
      </c>
      <c r="DI22" s="4">
        <f t="shared" si="11"/>
        <v>17309</v>
      </c>
      <c r="DJ22" s="4">
        <f t="shared" si="11"/>
        <v>6756</v>
      </c>
      <c r="DK22" s="4">
        <f t="shared" si="11"/>
        <v>112185</v>
      </c>
      <c r="DL22" s="4">
        <f t="shared" si="11"/>
        <v>0</v>
      </c>
      <c r="DM22" s="4">
        <f t="shared" si="11"/>
        <v>1775.4655209999999</v>
      </c>
      <c r="DN22" s="4">
        <f t="shared" si="11"/>
        <v>85.893817000000013</v>
      </c>
      <c r="DO22" s="4">
        <f t="shared" si="11"/>
        <v>0</v>
      </c>
      <c r="DP22" s="4">
        <f t="shared" si="11"/>
        <v>116939</v>
      </c>
      <c r="DQ22" s="4">
        <f t="shared" si="11"/>
        <v>65911</v>
      </c>
      <c r="DR22" s="4">
        <f t="shared" si="11"/>
        <v>0</v>
      </c>
      <c r="DS22" s="4">
        <f t="shared" si="11"/>
        <v>0</v>
      </c>
      <c r="DT22" s="4">
        <f t="shared" si="11"/>
        <v>635727</v>
      </c>
      <c r="DU22" s="4">
        <f t="shared" si="11"/>
        <v>506233</v>
      </c>
      <c r="DV22" s="4">
        <f t="shared" si="11"/>
        <v>17309</v>
      </c>
      <c r="DW22" s="4">
        <f t="shared" si="11"/>
        <v>6756</v>
      </c>
      <c r="DX22" s="4">
        <f t="shared" si="11"/>
        <v>112185</v>
      </c>
      <c r="DY22" s="4">
        <f t="shared" si="11"/>
        <v>0</v>
      </c>
      <c r="DZ22" s="4">
        <f t="shared" si="11"/>
        <v>1775.4655209999999</v>
      </c>
      <c r="EA22" s="4">
        <f t="shared" si="11"/>
        <v>85.893817000000013</v>
      </c>
      <c r="EB22" s="4">
        <f t="shared" si="11"/>
        <v>0</v>
      </c>
      <c r="EC22" s="4">
        <f t="shared" si="11"/>
        <v>116939</v>
      </c>
      <c r="ED22" s="4">
        <f t="shared" si="11"/>
        <v>65911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818577</v>
      </c>
      <c r="EK22" s="4">
        <f t="shared" si="11"/>
        <v>818577</v>
      </c>
      <c r="EL22" s="4">
        <f t="shared" si="11"/>
        <v>0</v>
      </c>
      <c r="EM22" s="4">
        <f t="shared" ref="EM22:FR22" si="12">EM63</f>
        <v>0</v>
      </c>
      <c r="EN22" s="4">
        <f t="shared" si="12"/>
        <v>506233</v>
      </c>
      <c r="EO22" s="4">
        <f t="shared" si="12"/>
        <v>506233</v>
      </c>
      <c r="EP22" s="4">
        <f t="shared" si="12"/>
        <v>0</v>
      </c>
      <c r="EQ22" s="4">
        <f t="shared" si="12"/>
        <v>506233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FS63</f>
        <v>818577</v>
      </c>
      <c r="FT22" s="4">
        <f t="shared" si="13"/>
        <v>818577</v>
      </c>
      <c r="FU22" s="4">
        <f t="shared" si="13"/>
        <v>0</v>
      </c>
      <c r="FV22" s="4">
        <f t="shared" si="13"/>
        <v>0</v>
      </c>
      <c r="FW22" s="4">
        <f t="shared" si="13"/>
        <v>506233</v>
      </c>
      <c r="FX22" s="4">
        <f t="shared" si="13"/>
        <v>506233</v>
      </c>
      <c r="FY22" s="4">
        <f t="shared" si="13"/>
        <v>0</v>
      </c>
      <c r="FZ22" s="4">
        <f t="shared" si="13"/>
        <v>506233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ROW(EtalonRes!A6)</f>
        <v>6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'1.Смета.или.Акт'!E47</f>
        <v>2.6133999999999999</v>
      </c>
      <c r="J24" s="2">
        <v>0</v>
      </c>
      <c r="K24" s="2"/>
      <c r="L24" s="2"/>
      <c r="M24" s="2"/>
      <c r="N24" s="2"/>
      <c r="O24" s="2">
        <f t="shared" ref="O24:O61" si="14">ROUND(CP24,0)</f>
        <v>1307</v>
      </c>
      <c r="P24" s="2">
        <f t="shared" ref="P24:P61" si="15">ROUND(CQ24*I24,0)</f>
        <v>313</v>
      </c>
      <c r="Q24" s="2">
        <f t="shared" ref="Q24:Q61" si="16">ROUND(CR24*I24,0)</f>
        <v>12</v>
      </c>
      <c r="R24" s="2">
        <f t="shared" ref="R24:R61" si="17">ROUND(CS24*I24,0)</f>
        <v>2</v>
      </c>
      <c r="S24" s="2">
        <f t="shared" ref="S24:S61" si="18">ROUND(CT24*I24,0)</f>
        <v>982</v>
      </c>
      <c r="T24" s="2">
        <f t="shared" ref="T24:T61" si="19">ROUND(CU24*I24,0)</f>
        <v>0</v>
      </c>
      <c r="U24" s="2">
        <f t="shared" ref="U24:U61" si="20">CV24*I24</f>
        <v>113.6829</v>
      </c>
      <c r="V24" s="2">
        <f t="shared" ref="V24:V61" si="21">CW24*I24</f>
        <v>0.18293800000000002</v>
      </c>
      <c r="W24" s="2">
        <f t="shared" ref="W24:W61" si="22">ROUND(CX24*I24,0)</f>
        <v>0</v>
      </c>
      <c r="X24" s="2">
        <f t="shared" ref="X24:X61" si="23">ROUND(CY24,0)</f>
        <v>1200</v>
      </c>
      <c r="Y24" s="2">
        <f t="shared" ref="Y24:Y61" si="24">ROUND(CZ24,0)</f>
        <v>787</v>
      </c>
      <c r="Z24" s="2"/>
      <c r="AA24" s="2">
        <v>34763685</v>
      </c>
      <c r="AB24" s="2">
        <f>'1.Смета.или.Акт'!F47</f>
        <v>500.18999999999994</v>
      </c>
      <c r="AC24" s="2">
        <f t="shared" ref="AC24:AC61" si="25">ROUND((ES24),2)</f>
        <v>119.75</v>
      </c>
      <c r="AD24" s="2">
        <f>'1.Смета.или.Акт'!H47</f>
        <v>4.5999999999999996</v>
      </c>
      <c r="AE24" s="2">
        <f>'1.Смета.или.Акт'!I47</f>
        <v>0.81</v>
      </c>
      <c r="AF24" s="2">
        <f>'1.Смета.или.Акт'!G47</f>
        <v>375.84</v>
      </c>
      <c r="AG24" s="2">
        <f t="shared" ref="AG24:AG61" si="26">ROUND((AP24),2)</f>
        <v>0</v>
      </c>
      <c r="AH24" s="2">
        <f t="shared" ref="AH24:AH61" si="27">(EW24)</f>
        <v>43.5</v>
      </c>
      <c r="AI24" s="2">
        <f t="shared" ref="AI24:AI61" si="28">(EX24)</f>
        <v>7.0000000000000007E-2</v>
      </c>
      <c r="AJ24" s="2">
        <f t="shared" ref="AJ24:AJ61" si="29">ROUND((AS24),2)</f>
        <v>0</v>
      </c>
      <c r="AK24" s="2">
        <v>500.19</v>
      </c>
      <c r="AL24" s="2">
        <v>119.75</v>
      </c>
      <c r="AM24" s="2">
        <v>4.5999999999999996</v>
      </c>
      <c r="AN24" s="2">
        <v>0.81</v>
      </c>
      <c r="AO24" s="2">
        <v>375.84</v>
      </c>
      <c r="AP24" s="2">
        <v>0</v>
      </c>
      <c r="AQ24" s="2">
        <v>43.5</v>
      </c>
      <c r="AR24" s="2">
        <v>7.0000000000000007E-2</v>
      </c>
      <c r="AS24" s="2">
        <v>0</v>
      </c>
      <c r="AT24" s="2">
        <f>'1.Смета.или.Акт'!E48</f>
        <v>122</v>
      </c>
      <c r="AU24" s="2">
        <f>'1.Смета.или.Акт'!E49</f>
        <v>80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5</v>
      </c>
      <c r="BE24" s="2" t="s">
        <v>5</v>
      </c>
      <c r="BF24" s="2" t="s">
        <v>5</v>
      </c>
      <c r="BG24" s="2" t="s">
        <v>5</v>
      </c>
      <c r="BH24" s="2">
        <v>0</v>
      </c>
      <c r="BI24" s="2">
        <v>1</v>
      </c>
      <c r="BJ24" s="2" t="s">
        <v>16</v>
      </c>
      <c r="BK24" s="2"/>
      <c r="BL24" s="2"/>
      <c r="BM24" s="2">
        <v>8001</v>
      </c>
      <c r="BN24" s="2">
        <v>0</v>
      </c>
      <c r="BO24" s="2" t="s">
        <v>5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5</v>
      </c>
      <c r="BZ24" s="2">
        <v>122</v>
      </c>
      <c r="CA24" s="2">
        <v>80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5</v>
      </c>
      <c r="CO24" s="2">
        <v>0</v>
      </c>
      <c r="CP24" s="2">
        <f>IF('1.Смета.или.Акт'!F47=AC24+AD24+AF24,P24+Q24+S24,I24*AB24)</f>
        <v>1307</v>
      </c>
      <c r="CQ24" s="2">
        <f t="shared" ref="CQ24:CQ61" si="30">AC24*BC24</f>
        <v>119.75</v>
      </c>
      <c r="CR24" s="2">
        <f t="shared" ref="CR24:CR61" si="31">AD24*BB24</f>
        <v>4.5999999999999996</v>
      </c>
      <c r="CS24" s="2">
        <f t="shared" ref="CS24:CS61" si="32">AE24*BS24</f>
        <v>0.81</v>
      </c>
      <c r="CT24" s="2">
        <f t="shared" ref="CT24:CT61" si="33">AF24*BA24</f>
        <v>375.84</v>
      </c>
      <c r="CU24" s="2">
        <f t="shared" ref="CU24:CU61" si="34">AG24</f>
        <v>0</v>
      </c>
      <c r="CV24" s="2">
        <f t="shared" ref="CV24:CV61" si="35">AH24</f>
        <v>43.5</v>
      </c>
      <c r="CW24" s="2">
        <f t="shared" ref="CW24:CW61" si="36">AI24</f>
        <v>7.0000000000000007E-2</v>
      </c>
      <c r="CX24" s="2">
        <f t="shared" ref="CX24:CX61" si="37">AJ24</f>
        <v>0</v>
      </c>
      <c r="CY24" s="2">
        <f t="shared" ref="CY24:CY61" si="38">(((S24+(R24*IF(0,0,1)))*AT24)/100)</f>
        <v>1200.48</v>
      </c>
      <c r="CZ24" s="2">
        <f t="shared" ref="CZ24:CZ61" si="39">(((S24+(R24*IF(0,0,1)))*AU24)/100)</f>
        <v>787.2</v>
      </c>
      <c r="DA24" s="2"/>
      <c r="DB24" s="2"/>
      <c r="DC24" s="2" t="s">
        <v>5</v>
      </c>
      <c r="DD24" s="2" t="s">
        <v>5</v>
      </c>
      <c r="DE24" s="2" t="s">
        <v>5</v>
      </c>
      <c r="DF24" s="2" t="s">
        <v>5</v>
      </c>
      <c r="DG24" s="2" t="s">
        <v>5</v>
      </c>
      <c r="DH24" s="2" t="s">
        <v>5</v>
      </c>
      <c r="DI24" s="2" t="s">
        <v>5</v>
      </c>
      <c r="DJ24" s="2" t="s">
        <v>5</v>
      </c>
      <c r="DK24" s="2" t="s">
        <v>5</v>
      </c>
      <c r="DL24" s="2" t="s">
        <v>5</v>
      </c>
      <c r="DM24" s="2" t="s">
        <v>5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1005</v>
      </c>
      <c r="DV24" s="2" t="s">
        <v>15</v>
      </c>
      <c r="DW24" s="2" t="str">
        <f>'1.Смета.или.Акт'!D47</f>
        <v>100 м2</v>
      </c>
      <c r="DX24" s="2">
        <v>100</v>
      </c>
      <c r="DY24" s="2"/>
      <c r="DZ24" s="2"/>
      <c r="EA24" s="2"/>
      <c r="EB24" s="2"/>
      <c r="EC24" s="2"/>
      <c r="ED24" s="2"/>
      <c r="EE24" s="2">
        <v>32653356</v>
      </c>
      <c r="EF24" s="2">
        <v>1</v>
      </c>
      <c r="EG24" s="2" t="s">
        <v>17</v>
      </c>
      <c r="EH24" s="2">
        <v>0</v>
      </c>
      <c r="EI24" s="2" t="s">
        <v>5</v>
      </c>
      <c r="EJ24" s="2">
        <v>1</v>
      </c>
      <c r="EK24" s="2">
        <v>8001</v>
      </c>
      <c r="EL24" s="2" t="s">
        <v>18</v>
      </c>
      <c r="EM24" s="2" t="s">
        <v>19</v>
      </c>
      <c r="EN24" s="2"/>
      <c r="EO24" s="2" t="s">
        <v>5</v>
      </c>
      <c r="EP24" s="2"/>
      <c r="EQ24" s="2">
        <v>0</v>
      </c>
      <c r="ER24" s="2">
        <v>500.19</v>
      </c>
      <c r="ES24" s="2">
        <v>119.75</v>
      </c>
      <c r="ET24" s="2">
        <v>4.5999999999999996</v>
      </c>
      <c r="EU24" s="2">
        <v>0.81</v>
      </c>
      <c r="EV24" s="2">
        <v>375.84</v>
      </c>
      <c r="EW24" s="2">
        <v>43.5</v>
      </c>
      <c r="EX24" s="2">
        <v>7.0000000000000007E-2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1" si="40">ROUND(IF(AND(BH24=3,BI24=3),P24,0),0)</f>
        <v>0</v>
      </c>
      <c r="FS24" s="2">
        <v>0</v>
      </c>
      <c r="FT24" s="2"/>
      <c r="FU24" s="2"/>
      <c r="FV24" s="2"/>
      <c r="FW24" s="2"/>
      <c r="FX24" s="2">
        <v>122</v>
      </c>
      <c r="FY24" s="2">
        <v>80</v>
      </c>
      <c r="FZ24" s="2"/>
      <c r="GA24" s="2" t="s">
        <v>5</v>
      </c>
      <c r="GB24" s="2"/>
      <c r="GC24" s="2"/>
      <c r="GD24" s="2">
        <v>0</v>
      </c>
      <c r="GE24" s="2"/>
      <c r="GF24" s="2">
        <v>1648279235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61" si="41">ROUND(IF(AND(BH24=3,BI24=3,FS24&lt;&gt;0),P24,0),0)</f>
        <v>0</v>
      </c>
      <c r="GM24" s="2">
        <f t="shared" ref="GM24:GM61" si="42">ROUND(O24+X24+Y24+GK24,0)+GX24</f>
        <v>3294</v>
      </c>
      <c r="GN24" s="2">
        <f t="shared" ref="GN24:GN61" si="43">IF(OR(BI24=0,BI24=1),ROUND(O24+X24+Y24+GK24,0),0)</f>
        <v>3294</v>
      </c>
      <c r="GO24" s="2">
        <f t="shared" ref="GO24:GO61" si="44">IF(BI24=2,ROUND(O24+X24+Y24+GK24,0),0)</f>
        <v>0</v>
      </c>
      <c r="GP24" s="2">
        <f t="shared" ref="GP24:GP61" si="45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5</v>
      </c>
      <c r="GV24" s="2">
        <f t="shared" ref="GV24:GV61" si="46">ROUND(GT24,2)</f>
        <v>0</v>
      </c>
      <c r="GW24" s="2">
        <v>1</v>
      </c>
      <c r="GX24" s="2">
        <f t="shared" ref="GX24:GX61" si="47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 t="s">
        <v>330</v>
      </c>
      <c r="IM24" s="2">
        <v>2.6133999999999999</v>
      </c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ROW(EtalonRes!A12)</f>
        <v>12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'1.Смета.или.Акт'!E47</f>
        <v>2.6133999999999999</v>
      </c>
      <c r="J25">
        <v>0</v>
      </c>
      <c r="O25">
        <f t="shared" si="14"/>
        <v>8863</v>
      </c>
      <c r="P25">
        <f t="shared" si="15"/>
        <v>2122</v>
      </c>
      <c r="Q25">
        <f t="shared" si="16"/>
        <v>82</v>
      </c>
      <c r="R25">
        <f t="shared" si="17"/>
        <v>14</v>
      </c>
      <c r="S25">
        <f t="shared" si="18"/>
        <v>6659</v>
      </c>
      <c r="T25">
        <f t="shared" si="19"/>
        <v>0</v>
      </c>
      <c r="U25">
        <f t="shared" si="20"/>
        <v>113.6829</v>
      </c>
      <c r="V25">
        <f t="shared" si="21"/>
        <v>0.18293800000000002</v>
      </c>
      <c r="W25">
        <f t="shared" si="22"/>
        <v>0</v>
      </c>
      <c r="X25">
        <f t="shared" si="23"/>
        <v>8141</v>
      </c>
      <c r="Y25">
        <f t="shared" si="24"/>
        <v>5338</v>
      </c>
      <c r="AA25">
        <v>34763707</v>
      </c>
      <c r="AB25">
        <f t="shared" ref="AB25:AB61" si="48">ROUND((AC25+AD25+AF25),2)</f>
        <v>500.19</v>
      </c>
      <c r="AC25">
        <f t="shared" si="25"/>
        <v>119.75</v>
      </c>
      <c r="AD25">
        <f t="shared" ref="AD25:AD61" si="49">ROUND((((ET25)-(EU25))+AE25),2)</f>
        <v>4.5999999999999996</v>
      </c>
      <c r="AE25">
        <f t="shared" ref="AE25:AE61" si="50">ROUND((EU25),2)</f>
        <v>0.81</v>
      </c>
      <c r="AF25">
        <f t="shared" ref="AF25:AF61" si="51">ROUND((EV25),2)</f>
        <v>375.84</v>
      </c>
      <c r="AG25">
        <f t="shared" si="26"/>
        <v>0</v>
      </c>
      <c r="AH25">
        <f t="shared" si="27"/>
        <v>43.5</v>
      </c>
      <c r="AI25">
        <f t="shared" si="28"/>
        <v>7.0000000000000007E-2</v>
      </c>
      <c r="AJ25">
        <f t="shared" si="29"/>
        <v>0</v>
      </c>
      <c r="AK25">
        <v>500.19</v>
      </c>
      <c r="AL25">
        <v>119.75</v>
      </c>
      <c r="AM25">
        <v>4.5999999999999996</v>
      </c>
      <c r="AN25">
        <v>0.81</v>
      </c>
      <c r="AO25">
        <v>375.84</v>
      </c>
      <c r="AP25">
        <v>0</v>
      </c>
      <c r="AQ25">
        <v>43.5</v>
      </c>
      <c r="AR25">
        <v>7.0000000000000007E-2</v>
      </c>
      <c r="AS25">
        <v>0</v>
      </c>
      <c r="AT25">
        <v>122</v>
      </c>
      <c r="AU25">
        <v>80</v>
      </c>
      <c r="AV25">
        <v>1</v>
      </c>
      <c r="AW25">
        <v>1</v>
      </c>
      <c r="AZ25">
        <v>6.78</v>
      </c>
      <c r="BA25">
        <v>6.78</v>
      </c>
      <c r="BB25">
        <v>6.78</v>
      </c>
      <c r="BC25">
        <v>6.78</v>
      </c>
      <c r="BD25" t="s">
        <v>5</v>
      </c>
      <c r="BE25" t="s">
        <v>5</v>
      </c>
      <c r="BF25" t="s">
        <v>5</v>
      </c>
      <c r="BG25" t="s">
        <v>5</v>
      </c>
      <c r="BH25">
        <v>0</v>
      </c>
      <c r="BI25">
        <v>1</v>
      </c>
      <c r="BJ25" t="s">
        <v>16</v>
      </c>
      <c r="BM25">
        <v>8001</v>
      </c>
      <c r="BN25">
        <v>0</v>
      </c>
      <c r="BO25" t="s">
        <v>5</v>
      </c>
      <c r="BP25">
        <v>0</v>
      </c>
      <c r="BQ25">
        <v>1</v>
      </c>
      <c r="BR25">
        <v>0</v>
      </c>
      <c r="BS25">
        <v>6.78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5</v>
      </c>
      <c r="BZ25">
        <v>122</v>
      </c>
      <c r="CA25">
        <v>80</v>
      </c>
      <c r="CF25">
        <v>0</v>
      </c>
      <c r="CG25">
        <v>0</v>
      </c>
      <c r="CM25">
        <v>0</v>
      </c>
      <c r="CN25" t="s">
        <v>5</v>
      </c>
      <c r="CO25">
        <v>0</v>
      </c>
      <c r="CP25">
        <f t="shared" ref="CP25:CP61" si="52">(P25+Q25+S25)</f>
        <v>8863</v>
      </c>
      <c r="CQ25">
        <f t="shared" si="30"/>
        <v>811.90500000000009</v>
      </c>
      <c r="CR25">
        <f t="shared" si="31"/>
        <v>31.187999999999999</v>
      </c>
      <c r="CS25">
        <f t="shared" si="32"/>
        <v>5.4918000000000005</v>
      </c>
      <c r="CT25">
        <f t="shared" si="33"/>
        <v>2548.1952000000001</v>
      </c>
      <c r="CU25">
        <f t="shared" si="34"/>
        <v>0</v>
      </c>
      <c r="CV25">
        <f t="shared" si="35"/>
        <v>43.5</v>
      </c>
      <c r="CW25">
        <f t="shared" si="36"/>
        <v>7.0000000000000007E-2</v>
      </c>
      <c r="CX25">
        <f t="shared" si="37"/>
        <v>0</v>
      </c>
      <c r="CY25">
        <f t="shared" si="38"/>
        <v>8141.06</v>
      </c>
      <c r="CZ25">
        <f t="shared" si="39"/>
        <v>5338.4</v>
      </c>
      <c r="DC25" t="s">
        <v>5</v>
      </c>
      <c r="DD25" t="s">
        <v>5</v>
      </c>
      <c r="DE25" t="s">
        <v>5</v>
      </c>
      <c r="DF25" t="s">
        <v>5</v>
      </c>
      <c r="DG25" t="s">
        <v>5</v>
      </c>
      <c r="DH25" t="s">
        <v>5</v>
      </c>
      <c r="DI25" t="s">
        <v>5</v>
      </c>
      <c r="DJ25" t="s">
        <v>5</v>
      </c>
      <c r="DK25" t="s">
        <v>5</v>
      </c>
      <c r="DL25" t="s">
        <v>5</v>
      </c>
      <c r="DM25" t="s">
        <v>5</v>
      </c>
      <c r="DN25">
        <v>0</v>
      </c>
      <c r="DO25">
        <v>0</v>
      </c>
      <c r="DP25">
        <v>1</v>
      </c>
      <c r="DQ25">
        <v>1</v>
      </c>
      <c r="DU25">
        <v>1005</v>
      </c>
      <c r="DV25" t="s">
        <v>15</v>
      </c>
      <c r="DW25" t="s">
        <v>15</v>
      </c>
      <c r="DX25">
        <v>100</v>
      </c>
      <c r="EE25">
        <v>32653356</v>
      </c>
      <c r="EF25">
        <v>1</v>
      </c>
      <c r="EG25" t="s">
        <v>17</v>
      </c>
      <c r="EH25">
        <v>0</v>
      </c>
      <c r="EI25" t="s">
        <v>5</v>
      </c>
      <c r="EJ25">
        <v>1</v>
      </c>
      <c r="EK25">
        <v>8001</v>
      </c>
      <c r="EL25" t="s">
        <v>18</v>
      </c>
      <c r="EM25" t="s">
        <v>19</v>
      </c>
      <c r="EO25" t="s">
        <v>5</v>
      </c>
      <c r="EQ25">
        <v>0</v>
      </c>
      <c r="ER25">
        <v>500.19</v>
      </c>
      <c r="ES25">
        <v>119.75</v>
      </c>
      <c r="ET25">
        <v>4.5999999999999996</v>
      </c>
      <c r="EU25">
        <v>0.81</v>
      </c>
      <c r="EV25">
        <v>375.84</v>
      </c>
      <c r="EW25">
        <v>43.5</v>
      </c>
      <c r="EX25">
        <v>7.0000000000000007E-2</v>
      </c>
      <c r="EY25">
        <v>0</v>
      </c>
      <c r="FQ25">
        <v>0</v>
      </c>
      <c r="FR25">
        <f t="shared" si="40"/>
        <v>0</v>
      </c>
      <c r="FS25">
        <v>0</v>
      </c>
      <c r="FX25">
        <v>122</v>
      </c>
      <c r="FY25">
        <v>80</v>
      </c>
      <c r="GA25" t="s">
        <v>5</v>
      </c>
      <c r="GD25">
        <v>0</v>
      </c>
      <c r="GF25">
        <v>1648279235</v>
      </c>
      <c r="GG25">
        <v>1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1"/>
        <v>0</v>
      </c>
      <c r="GM25">
        <f t="shared" si="42"/>
        <v>22342</v>
      </c>
      <c r="GN25">
        <f t="shared" si="43"/>
        <v>22342</v>
      </c>
      <c r="GO25">
        <f t="shared" si="44"/>
        <v>0</v>
      </c>
      <c r="GP25">
        <f t="shared" si="45"/>
        <v>0</v>
      </c>
      <c r="GR25">
        <v>0</v>
      </c>
      <c r="GS25">
        <v>3</v>
      </c>
      <c r="GT25">
        <v>0</v>
      </c>
      <c r="GU25" t="s">
        <v>5</v>
      </c>
      <c r="GV25">
        <f t="shared" si="46"/>
        <v>0</v>
      </c>
      <c r="GW25">
        <v>1</v>
      </c>
      <c r="GX25">
        <f t="shared" si="47"/>
        <v>0</v>
      </c>
      <c r="HA25">
        <v>0</v>
      </c>
      <c r="HB25">
        <v>0</v>
      </c>
      <c r="IF25">
        <v>-1</v>
      </c>
      <c r="IK25">
        <v>0</v>
      </c>
      <c r="IL25" t="s">
        <v>330</v>
      </c>
      <c r="IM25">
        <v>2.6133999999999999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ROW(EtalonRes!A17)</f>
        <v>17</v>
      </c>
      <c r="E26" s="2" t="s">
        <v>20</v>
      </c>
      <c r="F26" s="2" t="s">
        <v>21</v>
      </c>
      <c r="G26" s="2" t="s">
        <v>22</v>
      </c>
      <c r="H26" s="2" t="s">
        <v>15</v>
      </c>
      <c r="I26" s="2">
        <f>'1.Смета.или.Акт'!E52</f>
        <v>0.70609999999999995</v>
      </c>
      <c r="J26" s="2">
        <v>0</v>
      </c>
      <c r="K26" s="2"/>
      <c r="L26" s="2"/>
      <c r="M26" s="2"/>
      <c r="N26" s="2"/>
      <c r="O26" s="2">
        <f t="shared" si="14"/>
        <v>3652</v>
      </c>
      <c r="P26" s="2">
        <f t="shared" si="15"/>
        <v>1610</v>
      </c>
      <c r="Q26" s="2">
        <f t="shared" si="16"/>
        <v>2</v>
      </c>
      <c r="R26" s="2">
        <f t="shared" si="17"/>
        <v>0</v>
      </c>
      <c r="S26" s="2">
        <f t="shared" si="18"/>
        <v>2040</v>
      </c>
      <c r="T26" s="2">
        <f t="shared" si="19"/>
        <v>0</v>
      </c>
      <c r="U26" s="2">
        <f t="shared" si="20"/>
        <v>224.871667</v>
      </c>
      <c r="V26" s="2">
        <f t="shared" si="21"/>
        <v>0</v>
      </c>
      <c r="W26" s="2">
        <f t="shared" si="22"/>
        <v>0</v>
      </c>
      <c r="X26" s="2">
        <f t="shared" si="23"/>
        <v>1612</v>
      </c>
      <c r="Y26" s="2">
        <f t="shared" si="24"/>
        <v>1020</v>
      </c>
      <c r="Z26" s="2"/>
      <c r="AA26" s="2">
        <v>34763685</v>
      </c>
      <c r="AB26" s="2">
        <f>'1.Смета.или.Акт'!F52</f>
        <v>5170.4799999999996</v>
      </c>
      <c r="AC26" s="2">
        <f t="shared" si="25"/>
        <v>2279.65</v>
      </c>
      <c r="AD26" s="2">
        <f>'1.Смета.или.Акт'!H52</f>
        <v>2.31</v>
      </c>
      <c r="AE26" s="2">
        <f>'1.Смета.или.Акт'!I52</f>
        <v>0</v>
      </c>
      <c r="AF26" s="2">
        <f>'1.Смета.или.Акт'!G52</f>
        <v>2888.52</v>
      </c>
      <c r="AG26" s="2">
        <f t="shared" si="26"/>
        <v>0</v>
      </c>
      <c r="AH26" s="2">
        <f t="shared" si="27"/>
        <v>318.47000000000003</v>
      </c>
      <c r="AI26" s="2">
        <f t="shared" si="28"/>
        <v>0</v>
      </c>
      <c r="AJ26" s="2">
        <f t="shared" si="29"/>
        <v>0</v>
      </c>
      <c r="AK26" s="2">
        <v>5170.4799999999996</v>
      </c>
      <c r="AL26" s="2">
        <v>2279.65</v>
      </c>
      <c r="AM26" s="2">
        <v>2.31</v>
      </c>
      <c r="AN26" s="2">
        <v>0</v>
      </c>
      <c r="AO26" s="2">
        <v>2888.52</v>
      </c>
      <c r="AP26" s="2">
        <v>0</v>
      </c>
      <c r="AQ26" s="2">
        <v>318.47000000000003</v>
      </c>
      <c r="AR26" s="2">
        <v>0</v>
      </c>
      <c r="AS26" s="2">
        <v>0</v>
      </c>
      <c r="AT26" s="2">
        <f>'1.Смета.или.Акт'!E53</f>
        <v>79</v>
      </c>
      <c r="AU26" s="2">
        <f>'1.Смета.или.Акт'!E54</f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5</v>
      </c>
      <c r="BE26" s="2" t="s">
        <v>5</v>
      </c>
      <c r="BF26" s="2" t="s">
        <v>5</v>
      </c>
      <c r="BG26" s="2" t="s">
        <v>5</v>
      </c>
      <c r="BH26" s="2">
        <v>0</v>
      </c>
      <c r="BI26" s="2">
        <v>1</v>
      </c>
      <c r="BJ26" s="2" t="s">
        <v>23</v>
      </c>
      <c r="BK26" s="2"/>
      <c r="BL26" s="2"/>
      <c r="BM26" s="2">
        <v>61001</v>
      </c>
      <c r="BN26" s="2">
        <v>0</v>
      </c>
      <c r="BO26" s="2" t="s">
        <v>5</v>
      </c>
      <c r="BP26" s="2">
        <v>0</v>
      </c>
      <c r="BQ26" s="2">
        <v>6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5</v>
      </c>
      <c r="BZ26" s="2">
        <v>79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5</v>
      </c>
      <c r="CO26" s="2">
        <v>0</v>
      </c>
      <c r="CP26" s="2">
        <f>IF('1.Смета.или.Акт'!F52=AC26+AD26+AF26,P26+Q26+S26,I26*AB26)</f>
        <v>3652</v>
      </c>
      <c r="CQ26" s="2">
        <f t="shared" si="30"/>
        <v>2279.65</v>
      </c>
      <c r="CR26" s="2">
        <f t="shared" si="31"/>
        <v>2.31</v>
      </c>
      <c r="CS26" s="2">
        <f t="shared" si="32"/>
        <v>0</v>
      </c>
      <c r="CT26" s="2">
        <f t="shared" si="33"/>
        <v>2888.52</v>
      </c>
      <c r="CU26" s="2">
        <f t="shared" si="34"/>
        <v>0</v>
      </c>
      <c r="CV26" s="2">
        <f t="shared" si="35"/>
        <v>318.47000000000003</v>
      </c>
      <c r="CW26" s="2">
        <f t="shared" si="36"/>
        <v>0</v>
      </c>
      <c r="CX26" s="2">
        <f t="shared" si="37"/>
        <v>0</v>
      </c>
      <c r="CY26" s="2">
        <f t="shared" si="38"/>
        <v>1611.6</v>
      </c>
      <c r="CZ26" s="2">
        <f t="shared" si="39"/>
        <v>1020</v>
      </c>
      <c r="DA26" s="2"/>
      <c r="DB26" s="2"/>
      <c r="DC26" s="2" t="s">
        <v>5</v>
      </c>
      <c r="DD26" s="2" t="s">
        <v>5</v>
      </c>
      <c r="DE26" s="2" t="s">
        <v>5</v>
      </c>
      <c r="DF26" s="2" t="s">
        <v>5</v>
      </c>
      <c r="DG26" s="2" t="s">
        <v>5</v>
      </c>
      <c r="DH26" s="2" t="s">
        <v>5</v>
      </c>
      <c r="DI26" s="2" t="s">
        <v>5</v>
      </c>
      <c r="DJ26" s="2" t="s">
        <v>5</v>
      </c>
      <c r="DK26" s="2" t="s">
        <v>5</v>
      </c>
      <c r="DL26" s="2" t="s">
        <v>5</v>
      </c>
      <c r="DM26" s="2" t="s">
        <v>5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1005</v>
      </c>
      <c r="DV26" s="2" t="s">
        <v>15</v>
      </c>
      <c r="DW26" s="2" t="str">
        <f>'1.Смета.или.Акт'!D52</f>
        <v>100 м2</v>
      </c>
      <c r="DX26" s="2">
        <v>100</v>
      </c>
      <c r="DY26" s="2"/>
      <c r="DZ26" s="2"/>
      <c r="EA26" s="2"/>
      <c r="EB26" s="2"/>
      <c r="EC26" s="2"/>
      <c r="ED26" s="2"/>
      <c r="EE26" s="2">
        <v>32653441</v>
      </c>
      <c r="EF26" s="2">
        <v>6</v>
      </c>
      <c r="EG26" s="2" t="s">
        <v>24</v>
      </c>
      <c r="EH26" s="2">
        <v>0</v>
      </c>
      <c r="EI26" s="2" t="s">
        <v>5</v>
      </c>
      <c r="EJ26" s="2">
        <v>1</v>
      </c>
      <c r="EK26" s="2">
        <v>61001</v>
      </c>
      <c r="EL26" s="2" t="s">
        <v>25</v>
      </c>
      <c r="EM26" s="2" t="s">
        <v>26</v>
      </c>
      <c r="EN26" s="2"/>
      <c r="EO26" s="2" t="s">
        <v>5</v>
      </c>
      <c r="EP26" s="2"/>
      <c r="EQ26" s="2">
        <v>0</v>
      </c>
      <c r="ER26" s="2">
        <v>5170.4799999999996</v>
      </c>
      <c r="ES26" s="2">
        <v>2279.65</v>
      </c>
      <c r="ET26" s="2">
        <v>2.31</v>
      </c>
      <c r="EU26" s="2">
        <v>0</v>
      </c>
      <c r="EV26" s="2">
        <v>2888.52</v>
      </c>
      <c r="EW26" s="2">
        <v>318.47000000000003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0"/>
        <v>0</v>
      </c>
      <c r="FS26" s="2">
        <v>0</v>
      </c>
      <c r="FT26" s="2"/>
      <c r="FU26" s="2"/>
      <c r="FV26" s="2"/>
      <c r="FW26" s="2"/>
      <c r="FX26" s="2">
        <v>79</v>
      </c>
      <c r="FY26" s="2">
        <v>50</v>
      </c>
      <c r="FZ26" s="2"/>
      <c r="GA26" s="2" t="s">
        <v>5</v>
      </c>
      <c r="GB26" s="2"/>
      <c r="GC26" s="2"/>
      <c r="GD26" s="2">
        <v>0</v>
      </c>
      <c r="GE26" s="2"/>
      <c r="GF26" s="2">
        <v>781994343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1"/>
        <v>0</v>
      </c>
      <c r="GM26" s="2">
        <f t="shared" si="42"/>
        <v>6284</v>
      </c>
      <c r="GN26" s="2">
        <f t="shared" si="43"/>
        <v>6284</v>
      </c>
      <c r="GO26" s="2">
        <f t="shared" si="44"/>
        <v>0</v>
      </c>
      <c r="GP26" s="2">
        <f t="shared" si="45"/>
        <v>0</v>
      </c>
      <c r="GQ26" s="2"/>
      <c r="GR26" s="2">
        <v>0</v>
      </c>
      <c r="GS26" s="2">
        <v>3</v>
      </c>
      <c r="GT26" s="2">
        <v>0</v>
      </c>
      <c r="GU26" s="2" t="s">
        <v>5</v>
      </c>
      <c r="GV26" s="2">
        <f t="shared" si="46"/>
        <v>0</v>
      </c>
      <c r="GW26" s="2">
        <v>1</v>
      </c>
      <c r="GX26" s="2">
        <f t="shared" si="47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 t="s">
        <v>331</v>
      </c>
      <c r="IM26" s="2">
        <v>0.70609999999999995</v>
      </c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ROW(EtalonRes!A22)</f>
        <v>22</v>
      </c>
      <c r="E27" t="s">
        <v>20</v>
      </c>
      <c r="F27" t="s">
        <v>21</v>
      </c>
      <c r="G27" t="s">
        <v>22</v>
      </c>
      <c r="H27" t="s">
        <v>15</v>
      </c>
      <c r="I27">
        <f>'1.Смета.или.Акт'!E52</f>
        <v>0.70609999999999995</v>
      </c>
      <c r="J27">
        <v>0</v>
      </c>
      <c r="O27">
        <f t="shared" si="14"/>
        <v>24753</v>
      </c>
      <c r="P27">
        <f t="shared" si="15"/>
        <v>10914</v>
      </c>
      <c r="Q27">
        <f t="shared" si="16"/>
        <v>11</v>
      </c>
      <c r="R27">
        <f t="shared" si="17"/>
        <v>0</v>
      </c>
      <c r="S27">
        <f t="shared" si="18"/>
        <v>13828</v>
      </c>
      <c r="T27">
        <f t="shared" si="19"/>
        <v>0</v>
      </c>
      <c r="U27">
        <f t="shared" si="20"/>
        <v>224.871667</v>
      </c>
      <c r="V27">
        <f t="shared" si="21"/>
        <v>0</v>
      </c>
      <c r="W27">
        <f t="shared" si="22"/>
        <v>0</v>
      </c>
      <c r="X27">
        <f t="shared" si="23"/>
        <v>10924</v>
      </c>
      <c r="Y27">
        <f t="shared" si="24"/>
        <v>6914</v>
      </c>
      <c r="AA27">
        <v>34763707</v>
      </c>
      <c r="AB27">
        <f t="shared" si="48"/>
        <v>5170.4799999999996</v>
      </c>
      <c r="AC27">
        <f t="shared" si="25"/>
        <v>2279.65</v>
      </c>
      <c r="AD27">
        <f t="shared" si="49"/>
        <v>2.31</v>
      </c>
      <c r="AE27">
        <f t="shared" si="50"/>
        <v>0</v>
      </c>
      <c r="AF27">
        <f t="shared" si="51"/>
        <v>2888.52</v>
      </c>
      <c r="AG27">
        <f t="shared" si="26"/>
        <v>0</v>
      </c>
      <c r="AH27">
        <f t="shared" si="27"/>
        <v>318.47000000000003</v>
      </c>
      <c r="AI27">
        <f t="shared" si="28"/>
        <v>0</v>
      </c>
      <c r="AJ27">
        <f t="shared" si="29"/>
        <v>0</v>
      </c>
      <c r="AK27">
        <v>5170.4799999999996</v>
      </c>
      <c r="AL27">
        <v>2279.65</v>
      </c>
      <c r="AM27">
        <v>2.31</v>
      </c>
      <c r="AN27">
        <v>0</v>
      </c>
      <c r="AO27">
        <v>2888.52</v>
      </c>
      <c r="AP27">
        <v>0</v>
      </c>
      <c r="AQ27">
        <v>318.47000000000003</v>
      </c>
      <c r="AR27">
        <v>0</v>
      </c>
      <c r="AS27">
        <v>0</v>
      </c>
      <c r="AT27">
        <v>79</v>
      </c>
      <c r="AU27">
        <v>50</v>
      </c>
      <c r="AV27">
        <v>1</v>
      </c>
      <c r="AW27">
        <v>1</v>
      </c>
      <c r="AZ27">
        <v>6.78</v>
      </c>
      <c r="BA27">
        <v>6.78</v>
      </c>
      <c r="BB27">
        <v>6.78</v>
      </c>
      <c r="BC27">
        <v>6.78</v>
      </c>
      <c r="BD27" t="s">
        <v>5</v>
      </c>
      <c r="BE27" t="s">
        <v>5</v>
      </c>
      <c r="BF27" t="s">
        <v>5</v>
      </c>
      <c r="BG27" t="s">
        <v>5</v>
      </c>
      <c r="BH27">
        <v>0</v>
      </c>
      <c r="BI27">
        <v>1</v>
      </c>
      <c r="BJ27" t="s">
        <v>23</v>
      </c>
      <c r="BM27">
        <v>61001</v>
      </c>
      <c r="BN27">
        <v>0</v>
      </c>
      <c r="BO27" t="s">
        <v>5</v>
      </c>
      <c r="BP27">
        <v>0</v>
      </c>
      <c r="BQ27">
        <v>6</v>
      </c>
      <c r="BR27">
        <v>0</v>
      </c>
      <c r="BS27">
        <v>6.78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5</v>
      </c>
      <c r="BZ27">
        <v>79</v>
      </c>
      <c r="CA27">
        <v>50</v>
      </c>
      <c r="CF27">
        <v>0</v>
      </c>
      <c r="CG27">
        <v>0</v>
      </c>
      <c r="CM27">
        <v>0</v>
      </c>
      <c r="CN27" t="s">
        <v>5</v>
      </c>
      <c r="CO27">
        <v>0</v>
      </c>
      <c r="CP27">
        <f t="shared" si="52"/>
        <v>24753</v>
      </c>
      <c r="CQ27">
        <f t="shared" si="30"/>
        <v>15456.027000000002</v>
      </c>
      <c r="CR27">
        <f t="shared" si="31"/>
        <v>15.661800000000001</v>
      </c>
      <c r="CS27">
        <f t="shared" si="32"/>
        <v>0</v>
      </c>
      <c r="CT27">
        <f t="shared" si="33"/>
        <v>19584.1656</v>
      </c>
      <c r="CU27">
        <f t="shared" si="34"/>
        <v>0</v>
      </c>
      <c r="CV27">
        <f t="shared" si="35"/>
        <v>318.47000000000003</v>
      </c>
      <c r="CW27">
        <f t="shared" si="36"/>
        <v>0</v>
      </c>
      <c r="CX27">
        <f t="shared" si="37"/>
        <v>0</v>
      </c>
      <c r="CY27">
        <f t="shared" si="38"/>
        <v>10924.12</v>
      </c>
      <c r="CZ27">
        <f t="shared" si="39"/>
        <v>6914</v>
      </c>
      <c r="DC27" t="s">
        <v>5</v>
      </c>
      <c r="DD27" t="s">
        <v>5</v>
      </c>
      <c r="DE27" t="s">
        <v>5</v>
      </c>
      <c r="DF27" t="s">
        <v>5</v>
      </c>
      <c r="DG27" t="s">
        <v>5</v>
      </c>
      <c r="DH27" t="s">
        <v>5</v>
      </c>
      <c r="DI27" t="s">
        <v>5</v>
      </c>
      <c r="DJ27" t="s">
        <v>5</v>
      </c>
      <c r="DK27" t="s">
        <v>5</v>
      </c>
      <c r="DL27" t="s">
        <v>5</v>
      </c>
      <c r="DM27" t="s">
        <v>5</v>
      </c>
      <c r="DN27">
        <v>0</v>
      </c>
      <c r="DO27">
        <v>0</v>
      </c>
      <c r="DP27">
        <v>1</v>
      </c>
      <c r="DQ27">
        <v>1</v>
      </c>
      <c r="DU27">
        <v>1005</v>
      </c>
      <c r="DV27" t="s">
        <v>15</v>
      </c>
      <c r="DW27" t="s">
        <v>15</v>
      </c>
      <c r="DX27">
        <v>100</v>
      </c>
      <c r="EE27">
        <v>32653441</v>
      </c>
      <c r="EF27">
        <v>6</v>
      </c>
      <c r="EG27" t="s">
        <v>24</v>
      </c>
      <c r="EH27">
        <v>0</v>
      </c>
      <c r="EI27" t="s">
        <v>5</v>
      </c>
      <c r="EJ27">
        <v>1</v>
      </c>
      <c r="EK27">
        <v>61001</v>
      </c>
      <c r="EL27" t="s">
        <v>25</v>
      </c>
      <c r="EM27" t="s">
        <v>26</v>
      </c>
      <c r="EO27" t="s">
        <v>5</v>
      </c>
      <c r="EQ27">
        <v>0</v>
      </c>
      <c r="ER27">
        <v>5170.4799999999996</v>
      </c>
      <c r="ES27">
        <v>2279.65</v>
      </c>
      <c r="ET27">
        <v>2.31</v>
      </c>
      <c r="EU27">
        <v>0</v>
      </c>
      <c r="EV27">
        <v>2888.52</v>
      </c>
      <c r="EW27">
        <v>318.47000000000003</v>
      </c>
      <c r="EX27">
        <v>0</v>
      </c>
      <c r="EY27">
        <v>0</v>
      </c>
      <c r="FQ27">
        <v>0</v>
      </c>
      <c r="FR27">
        <f t="shared" si="40"/>
        <v>0</v>
      </c>
      <c r="FS27">
        <v>0</v>
      </c>
      <c r="FX27">
        <v>79</v>
      </c>
      <c r="FY27">
        <v>50</v>
      </c>
      <c r="GA27" t="s">
        <v>5</v>
      </c>
      <c r="GD27">
        <v>0</v>
      </c>
      <c r="GF27">
        <v>781994343</v>
      </c>
      <c r="GG27">
        <v>1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1"/>
        <v>0</v>
      </c>
      <c r="GM27">
        <f t="shared" si="42"/>
        <v>42591</v>
      </c>
      <c r="GN27">
        <f t="shared" si="43"/>
        <v>42591</v>
      </c>
      <c r="GO27">
        <f t="shared" si="44"/>
        <v>0</v>
      </c>
      <c r="GP27">
        <f t="shared" si="45"/>
        <v>0</v>
      </c>
      <c r="GR27">
        <v>0</v>
      </c>
      <c r="GS27">
        <v>3</v>
      </c>
      <c r="GT27">
        <v>0</v>
      </c>
      <c r="GU27" t="s">
        <v>5</v>
      </c>
      <c r="GV27">
        <f t="shared" si="46"/>
        <v>0</v>
      </c>
      <c r="GW27">
        <v>1</v>
      </c>
      <c r="GX27">
        <f t="shared" si="47"/>
        <v>0</v>
      </c>
      <c r="HA27">
        <v>0</v>
      </c>
      <c r="HB27">
        <v>0</v>
      </c>
      <c r="IF27">
        <v>-1</v>
      </c>
      <c r="IK27">
        <v>0</v>
      </c>
      <c r="IL27" t="s">
        <v>331</v>
      </c>
      <c r="IM27">
        <v>0.70609999999999995</v>
      </c>
    </row>
    <row r="28" spans="1:255" x14ac:dyDescent="0.2">
      <c r="A28" s="2">
        <v>17</v>
      </c>
      <c r="B28" s="2">
        <v>1</v>
      </c>
      <c r="C28" s="2">
        <f>ROW(SmtRes!A19)</f>
        <v>19</v>
      </c>
      <c r="D28" s="2">
        <f>ROW(EtalonRes!A26)</f>
        <v>26</v>
      </c>
      <c r="E28" s="2" t="s">
        <v>27</v>
      </c>
      <c r="F28" s="2" t="s">
        <v>28</v>
      </c>
      <c r="G28" s="2" t="s">
        <v>29</v>
      </c>
      <c r="H28" s="2" t="s">
        <v>15</v>
      </c>
      <c r="I28" s="2">
        <f>'1.Смета.или.Акт'!E57</f>
        <v>0.47070000000000001</v>
      </c>
      <c r="J28" s="2">
        <v>0</v>
      </c>
      <c r="K28" s="2"/>
      <c r="L28" s="2"/>
      <c r="M28" s="2"/>
      <c r="N28" s="2"/>
      <c r="O28" s="2">
        <f t="shared" si="14"/>
        <v>472</v>
      </c>
      <c r="P28" s="2">
        <f t="shared" si="15"/>
        <v>268</v>
      </c>
      <c r="Q28" s="2">
        <f t="shared" si="16"/>
        <v>0</v>
      </c>
      <c r="R28" s="2">
        <f t="shared" si="17"/>
        <v>0</v>
      </c>
      <c r="S28" s="2">
        <f t="shared" si="18"/>
        <v>204</v>
      </c>
      <c r="T28" s="2">
        <f t="shared" si="19"/>
        <v>0</v>
      </c>
      <c r="U28" s="2">
        <f t="shared" si="20"/>
        <v>22.522995000000002</v>
      </c>
      <c r="V28" s="2">
        <f t="shared" si="21"/>
        <v>0</v>
      </c>
      <c r="W28" s="2">
        <f t="shared" si="22"/>
        <v>0</v>
      </c>
      <c r="X28" s="2">
        <f t="shared" si="23"/>
        <v>161</v>
      </c>
      <c r="Y28" s="2">
        <f t="shared" si="24"/>
        <v>102</v>
      </c>
      <c r="Z28" s="2"/>
      <c r="AA28" s="2">
        <v>34763685</v>
      </c>
      <c r="AB28" s="2">
        <f>'1.Смета.или.Акт'!F57</f>
        <v>1004.2800000000001</v>
      </c>
      <c r="AC28" s="2">
        <f t="shared" si="25"/>
        <v>569.70000000000005</v>
      </c>
      <c r="AD28" s="2">
        <f>'1.Смета.или.Акт'!H57</f>
        <v>0.57999999999999996</v>
      </c>
      <c r="AE28" s="2">
        <f>'1.Смета.или.Акт'!I57</f>
        <v>0</v>
      </c>
      <c r="AF28" s="2">
        <f>'1.Смета.или.Акт'!G57</f>
        <v>434</v>
      </c>
      <c r="AG28" s="2">
        <f t="shared" si="26"/>
        <v>0</v>
      </c>
      <c r="AH28" s="2">
        <f t="shared" si="27"/>
        <v>47.85</v>
      </c>
      <c r="AI28" s="2">
        <f t="shared" si="28"/>
        <v>0</v>
      </c>
      <c r="AJ28" s="2">
        <f t="shared" si="29"/>
        <v>0</v>
      </c>
      <c r="AK28" s="2">
        <v>1004.28</v>
      </c>
      <c r="AL28" s="2">
        <v>569.70000000000005</v>
      </c>
      <c r="AM28" s="2">
        <v>0.57999999999999996</v>
      </c>
      <c r="AN28" s="2">
        <v>0</v>
      </c>
      <c r="AO28" s="2">
        <v>434</v>
      </c>
      <c r="AP28" s="2">
        <v>0</v>
      </c>
      <c r="AQ28" s="2">
        <v>47.85</v>
      </c>
      <c r="AR28" s="2">
        <v>0</v>
      </c>
      <c r="AS28" s="2">
        <v>0</v>
      </c>
      <c r="AT28" s="2">
        <f>'1.Смета.или.Акт'!E58</f>
        <v>79</v>
      </c>
      <c r="AU28" s="2">
        <f>'1.Смета.или.Акт'!E59</f>
        <v>50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5</v>
      </c>
      <c r="BE28" s="2" t="s">
        <v>5</v>
      </c>
      <c r="BF28" s="2" t="s">
        <v>5</v>
      </c>
      <c r="BG28" s="2" t="s">
        <v>5</v>
      </c>
      <c r="BH28" s="2">
        <v>0</v>
      </c>
      <c r="BI28" s="2">
        <v>1</v>
      </c>
      <c r="BJ28" s="2" t="s">
        <v>30</v>
      </c>
      <c r="BK28" s="2"/>
      <c r="BL28" s="2"/>
      <c r="BM28" s="2">
        <v>61001</v>
      </c>
      <c r="BN28" s="2">
        <v>0</v>
      </c>
      <c r="BO28" s="2" t="s">
        <v>5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5</v>
      </c>
      <c r="BZ28" s="2">
        <v>79</v>
      </c>
      <c r="CA28" s="2">
        <v>50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5</v>
      </c>
      <c r="CO28" s="2">
        <v>0</v>
      </c>
      <c r="CP28" s="2">
        <f>IF('1.Смета.или.Акт'!F57=AC28+AD28+AF28,P28+Q28+S28,I28*AB28)</f>
        <v>472</v>
      </c>
      <c r="CQ28" s="2">
        <f t="shared" si="30"/>
        <v>569.70000000000005</v>
      </c>
      <c r="CR28" s="2">
        <f t="shared" si="31"/>
        <v>0.57999999999999996</v>
      </c>
      <c r="CS28" s="2">
        <f t="shared" si="32"/>
        <v>0</v>
      </c>
      <c r="CT28" s="2">
        <f t="shared" si="33"/>
        <v>434</v>
      </c>
      <c r="CU28" s="2">
        <f t="shared" si="34"/>
        <v>0</v>
      </c>
      <c r="CV28" s="2">
        <f t="shared" si="35"/>
        <v>47.85</v>
      </c>
      <c r="CW28" s="2">
        <f t="shared" si="36"/>
        <v>0</v>
      </c>
      <c r="CX28" s="2">
        <f t="shared" si="37"/>
        <v>0</v>
      </c>
      <c r="CY28" s="2">
        <f t="shared" si="38"/>
        <v>161.16</v>
      </c>
      <c r="CZ28" s="2">
        <f t="shared" si="39"/>
        <v>102</v>
      </c>
      <c r="DA28" s="2"/>
      <c r="DB28" s="2"/>
      <c r="DC28" s="2" t="s">
        <v>5</v>
      </c>
      <c r="DD28" s="2" t="s">
        <v>5</v>
      </c>
      <c r="DE28" s="2" t="s">
        <v>5</v>
      </c>
      <c r="DF28" s="2" t="s">
        <v>5</v>
      </c>
      <c r="DG28" s="2" t="s">
        <v>5</v>
      </c>
      <c r="DH28" s="2" t="s">
        <v>5</v>
      </c>
      <c r="DI28" s="2" t="s">
        <v>5</v>
      </c>
      <c r="DJ28" s="2" t="s">
        <v>5</v>
      </c>
      <c r="DK28" s="2" t="s">
        <v>5</v>
      </c>
      <c r="DL28" s="2" t="s">
        <v>5</v>
      </c>
      <c r="DM28" s="2" t="s">
        <v>5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15</v>
      </c>
      <c r="DW28" s="2" t="str">
        <f>'1.Смета.или.Акт'!D57</f>
        <v>100 м2</v>
      </c>
      <c r="DX28" s="2">
        <v>100</v>
      </c>
      <c r="DY28" s="2"/>
      <c r="DZ28" s="2"/>
      <c r="EA28" s="2"/>
      <c r="EB28" s="2"/>
      <c r="EC28" s="2"/>
      <c r="ED28" s="2"/>
      <c r="EE28" s="2">
        <v>32653441</v>
      </c>
      <c r="EF28" s="2">
        <v>6</v>
      </c>
      <c r="EG28" s="2" t="s">
        <v>24</v>
      </c>
      <c r="EH28" s="2">
        <v>0</v>
      </c>
      <c r="EI28" s="2" t="s">
        <v>5</v>
      </c>
      <c r="EJ28" s="2">
        <v>1</v>
      </c>
      <c r="EK28" s="2">
        <v>61001</v>
      </c>
      <c r="EL28" s="2" t="s">
        <v>25</v>
      </c>
      <c r="EM28" s="2" t="s">
        <v>26</v>
      </c>
      <c r="EN28" s="2"/>
      <c r="EO28" s="2" t="s">
        <v>5</v>
      </c>
      <c r="EP28" s="2"/>
      <c r="EQ28" s="2">
        <v>0</v>
      </c>
      <c r="ER28" s="2">
        <v>1004.28</v>
      </c>
      <c r="ES28" s="2">
        <v>569.70000000000005</v>
      </c>
      <c r="ET28" s="2">
        <v>0.57999999999999996</v>
      </c>
      <c r="EU28" s="2">
        <v>0</v>
      </c>
      <c r="EV28" s="2">
        <v>434</v>
      </c>
      <c r="EW28" s="2">
        <v>47.85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0"/>
        <v>0</v>
      </c>
      <c r="FS28" s="2">
        <v>0</v>
      </c>
      <c r="FT28" s="2"/>
      <c r="FU28" s="2"/>
      <c r="FV28" s="2"/>
      <c r="FW28" s="2"/>
      <c r="FX28" s="2">
        <v>79</v>
      </c>
      <c r="FY28" s="2">
        <v>50</v>
      </c>
      <c r="FZ28" s="2"/>
      <c r="GA28" s="2" t="s">
        <v>5</v>
      </c>
      <c r="GB28" s="2"/>
      <c r="GC28" s="2"/>
      <c r="GD28" s="2">
        <v>0</v>
      </c>
      <c r="GE28" s="2"/>
      <c r="GF28" s="2">
        <v>-93909772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1"/>
        <v>0</v>
      </c>
      <c r="GM28" s="2">
        <f t="shared" si="42"/>
        <v>735</v>
      </c>
      <c r="GN28" s="2">
        <f t="shared" si="43"/>
        <v>735</v>
      </c>
      <c r="GO28" s="2">
        <f t="shared" si="44"/>
        <v>0</v>
      </c>
      <c r="GP28" s="2">
        <f t="shared" si="45"/>
        <v>0</v>
      </c>
      <c r="GQ28" s="2"/>
      <c r="GR28" s="2">
        <v>0</v>
      </c>
      <c r="GS28" s="2">
        <v>3</v>
      </c>
      <c r="GT28" s="2">
        <v>0</v>
      </c>
      <c r="GU28" s="2" t="s">
        <v>5</v>
      </c>
      <c r="GV28" s="2">
        <f t="shared" si="46"/>
        <v>0</v>
      </c>
      <c r="GW28" s="2">
        <v>1</v>
      </c>
      <c r="GX28" s="2">
        <f t="shared" si="47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 t="s">
        <v>332</v>
      </c>
      <c r="IM28" s="2">
        <v>0.47070000000000001</v>
      </c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ROW(SmtRes!A22)</f>
        <v>22</v>
      </c>
      <c r="D29">
        <f>ROW(EtalonRes!A30)</f>
        <v>30</v>
      </c>
      <c r="E29" t="s">
        <v>27</v>
      </c>
      <c r="F29" t="s">
        <v>28</v>
      </c>
      <c r="G29" t="s">
        <v>29</v>
      </c>
      <c r="H29" t="s">
        <v>15</v>
      </c>
      <c r="I29">
        <f>'1.Смета.или.Акт'!E57</f>
        <v>0.47070000000000001</v>
      </c>
      <c r="J29">
        <v>0</v>
      </c>
      <c r="O29">
        <f t="shared" si="14"/>
        <v>3205</v>
      </c>
      <c r="P29">
        <f t="shared" si="15"/>
        <v>1818</v>
      </c>
      <c r="Q29">
        <f t="shared" si="16"/>
        <v>2</v>
      </c>
      <c r="R29">
        <f t="shared" si="17"/>
        <v>0</v>
      </c>
      <c r="S29">
        <f t="shared" si="18"/>
        <v>1385</v>
      </c>
      <c r="T29">
        <f t="shared" si="19"/>
        <v>0</v>
      </c>
      <c r="U29">
        <f t="shared" si="20"/>
        <v>22.522995000000002</v>
      </c>
      <c r="V29">
        <f t="shared" si="21"/>
        <v>0</v>
      </c>
      <c r="W29">
        <f t="shared" si="22"/>
        <v>0</v>
      </c>
      <c r="X29">
        <f t="shared" si="23"/>
        <v>1094</v>
      </c>
      <c r="Y29">
        <f t="shared" si="24"/>
        <v>693</v>
      </c>
      <c r="AA29">
        <v>34763707</v>
      </c>
      <c r="AB29">
        <f t="shared" si="48"/>
        <v>1004.28</v>
      </c>
      <c r="AC29">
        <f t="shared" si="25"/>
        <v>569.70000000000005</v>
      </c>
      <c r="AD29">
        <f t="shared" si="49"/>
        <v>0.57999999999999996</v>
      </c>
      <c r="AE29">
        <f t="shared" si="50"/>
        <v>0</v>
      </c>
      <c r="AF29">
        <f t="shared" si="51"/>
        <v>434</v>
      </c>
      <c r="AG29">
        <f t="shared" si="26"/>
        <v>0</v>
      </c>
      <c r="AH29">
        <f t="shared" si="27"/>
        <v>47.85</v>
      </c>
      <c r="AI29">
        <f t="shared" si="28"/>
        <v>0</v>
      </c>
      <c r="AJ29">
        <f t="shared" si="29"/>
        <v>0</v>
      </c>
      <c r="AK29">
        <v>1004.28</v>
      </c>
      <c r="AL29">
        <v>569.70000000000005</v>
      </c>
      <c r="AM29">
        <v>0.57999999999999996</v>
      </c>
      <c r="AN29">
        <v>0</v>
      </c>
      <c r="AO29">
        <v>434</v>
      </c>
      <c r="AP29">
        <v>0</v>
      </c>
      <c r="AQ29">
        <v>47.85</v>
      </c>
      <c r="AR29">
        <v>0</v>
      </c>
      <c r="AS29">
        <v>0</v>
      </c>
      <c r="AT29">
        <v>79</v>
      </c>
      <c r="AU29">
        <v>50</v>
      </c>
      <c r="AV29">
        <v>1</v>
      </c>
      <c r="AW29">
        <v>1</v>
      </c>
      <c r="AZ29">
        <v>6.78</v>
      </c>
      <c r="BA29">
        <v>6.78</v>
      </c>
      <c r="BB29">
        <v>6.78</v>
      </c>
      <c r="BC29">
        <v>6.78</v>
      </c>
      <c r="BD29" t="s">
        <v>5</v>
      </c>
      <c r="BE29" t="s">
        <v>5</v>
      </c>
      <c r="BF29" t="s">
        <v>5</v>
      </c>
      <c r="BG29" t="s">
        <v>5</v>
      </c>
      <c r="BH29">
        <v>0</v>
      </c>
      <c r="BI29">
        <v>1</v>
      </c>
      <c r="BJ29" t="s">
        <v>30</v>
      </c>
      <c r="BM29">
        <v>61001</v>
      </c>
      <c r="BN29">
        <v>0</v>
      </c>
      <c r="BO29" t="s">
        <v>5</v>
      </c>
      <c r="BP29">
        <v>0</v>
      </c>
      <c r="BQ29">
        <v>6</v>
      </c>
      <c r="BR29">
        <v>0</v>
      </c>
      <c r="BS29">
        <v>6.78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5</v>
      </c>
      <c r="BZ29">
        <v>79</v>
      </c>
      <c r="CA29">
        <v>50</v>
      </c>
      <c r="CF29">
        <v>0</v>
      </c>
      <c r="CG29">
        <v>0</v>
      </c>
      <c r="CM29">
        <v>0</v>
      </c>
      <c r="CN29" t="s">
        <v>5</v>
      </c>
      <c r="CO29">
        <v>0</v>
      </c>
      <c r="CP29">
        <f t="shared" si="52"/>
        <v>3205</v>
      </c>
      <c r="CQ29">
        <f t="shared" si="30"/>
        <v>3862.5660000000003</v>
      </c>
      <c r="CR29">
        <f t="shared" si="31"/>
        <v>3.9323999999999999</v>
      </c>
      <c r="CS29">
        <f t="shared" si="32"/>
        <v>0</v>
      </c>
      <c r="CT29">
        <f t="shared" si="33"/>
        <v>2942.52</v>
      </c>
      <c r="CU29">
        <f t="shared" si="34"/>
        <v>0</v>
      </c>
      <c r="CV29">
        <f t="shared" si="35"/>
        <v>47.85</v>
      </c>
      <c r="CW29">
        <f t="shared" si="36"/>
        <v>0</v>
      </c>
      <c r="CX29">
        <f t="shared" si="37"/>
        <v>0</v>
      </c>
      <c r="CY29">
        <f t="shared" si="38"/>
        <v>1094.1500000000001</v>
      </c>
      <c r="CZ29">
        <f t="shared" si="39"/>
        <v>692.5</v>
      </c>
      <c r="DC29" t="s">
        <v>5</v>
      </c>
      <c r="DD29" t="s">
        <v>5</v>
      </c>
      <c r="DE29" t="s">
        <v>5</v>
      </c>
      <c r="DF29" t="s">
        <v>5</v>
      </c>
      <c r="DG29" t="s">
        <v>5</v>
      </c>
      <c r="DH29" t="s">
        <v>5</v>
      </c>
      <c r="DI29" t="s">
        <v>5</v>
      </c>
      <c r="DJ29" t="s">
        <v>5</v>
      </c>
      <c r="DK29" t="s">
        <v>5</v>
      </c>
      <c r="DL29" t="s">
        <v>5</v>
      </c>
      <c r="DM29" t="s">
        <v>5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15</v>
      </c>
      <c r="DW29" t="s">
        <v>15</v>
      </c>
      <c r="DX29">
        <v>100</v>
      </c>
      <c r="EE29">
        <v>32653441</v>
      </c>
      <c r="EF29">
        <v>6</v>
      </c>
      <c r="EG29" t="s">
        <v>24</v>
      </c>
      <c r="EH29">
        <v>0</v>
      </c>
      <c r="EI29" t="s">
        <v>5</v>
      </c>
      <c r="EJ29">
        <v>1</v>
      </c>
      <c r="EK29">
        <v>61001</v>
      </c>
      <c r="EL29" t="s">
        <v>25</v>
      </c>
      <c r="EM29" t="s">
        <v>26</v>
      </c>
      <c r="EO29" t="s">
        <v>5</v>
      </c>
      <c r="EQ29">
        <v>0</v>
      </c>
      <c r="ER29">
        <v>1004.28</v>
      </c>
      <c r="ES29">
        <v>569.70000000000005</v>
      </c>
      <c r="ET29">
        <v>0.57999999999999996</v>
      </c>
      <c r="EU29">
        <v>0</v>
      </c>
      <c r="EV29">
        <v>434</v>
      </c>
      <c r="EW29">
        <v>47.85</v>
      </c>
      <c r="EX29">
        <v>0</v>
      </c>
      <c r="EY29">
        <v>0</v>
      </c>
      <c r="FQ29">
        <v>0</v>
      </c>
      <c r="FR29">
        <f t="shared" si="40"/>
        <v>0</v>
      </c>
      <c r="FS29">
        <v>0</v>
      </c>
      <c r="FX29">
        <v>79</v>
      </c>
      <c r="FY29">
        <v>50</v>
      </c>
      <c r="GA29" t="s">
        <v>5</v>
      </c>
      <c r="GD29">
        <v>0</v>
      </c>
      <c r="GF29">
        <v>-93909772</v>
      </c>
      <c r="GG29">
        <v>1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1"/>
        <v>0</v>
      </c>
      <c r="GM29">
        <f t="shared" si="42"/>
        <v>4992</v>
      </c>
      <c r="GN29">
        <f t="shared" si="43"/>
        <v>4992</v>
      </c>
      <c r="GO29">
        <f t="shared" si="44"/>
        <v>0</v>
      </c>
      <c r="GP29">
        <f t="shared" si="45"/>
        <v>0</v>
      </c>
      <c r="GR29">
        <v>0</v>
      </c>
      <c r="GS29">
        <v>3</v>
      </c>
      <c r="GT29">
        <v>0</v>
      </c>
      <c r="GU29" t="s">
        <v>5</v>
      </c>
      <c r="GV29">
        <f t="shared" si="46"/>
        <v>0</v>
      </c>
      <c r="GW29">
        <v>1</v>
      </c>
      <c r="GX29">
        <f t="shared" si="47"/>
        <v>0</v>
      </c>
      <c r="HA29">
        <v>0</v>
      </c>
      <c r="HB29">
        <v>0</v>
      </c>
      <c r="IF29">
        <v>-1</v>
      </c>
      <c r="IK29">
        <v>0</v>
      </c>
      <c r="IL29" t="s">
        <v>332</v>
      </c>
      <c r="IM29">
        <v>0.47070000000000001</v>
      </c>
    </row>
    <row r="30" spans="1:255" x14ac:dyDescent="0.2">
      <c r="A30" s="2">
        <v>17</v>
      </c>
      <c r="B30" s="2">
        <v>1</v>
      </c>
      <c r="C30" s="2">
        <f>ROW(SmtRes!A26)</f>
        <v>26</v>
      </c>
      <c r="D30" s="2">
        <f>ROW(EtalonRes!A35)</f>
        <v>35</v>
      </c>
      <c r="E30" s="2" t="s">
        <v>31</v>
      </c>
      <c r="F30" s="2" t="s">
        <v>32</v>
      </c>
      <c r="G30" s="2" t="s">
        <v>33</v>
      </c>
      <c r="H30" s="2" t="s">
        <v>15</v>
      </c>
      <c r="I30" s="2">
        <f>'1.Смета.или.Акт'!E62</f>
        <v>0.51949999999999996</v>
      </c>
      <c r="J30" s="2">
        <v>0</v>
      </c>
      <c r="K30" s="2"/>
      <c r="L30" s="2"/>
      <c r="M30" s="2"/>
      <c r="N30" s="2"/>
      <c r="O30" s="2">
        <f t="shared" si="14"/>
        <v>2746</v>
      </c>
      <c r="P30" s="2">
        <f t="shared" si="15"/>
        <v>1184</v>
      </c>
      <c r="Q30" s="2">
        <f t="shared" si="16"/>
        <v>1</v>
      </c>
      <c r="R30" s="2">
        <f t="shared" si="17"/>
        <v>0</v>
      </c>
      <c r="S30" s="2">
        <f t="shared" si="18"/>
        <v>1561</v>
      </c>
      <c r="T30" s="2">
        <f t="shared" si="19"/>
        <v>0</v>
      </c>
      <c r="U30" s="2">
        <f t="shared" si="20"/>
        <v>168.00629999999998</v>
      </c>
      <c r="V30" s="2">
        <f t="shared" si="21"/>
        <v>0</v>
      </c>
      <c r="W30" s="2">
        <f t="shared" si="22"/>
        <v>0</v>
      </c>
      <c r="X30" s="2">
        <f t="shared" si="23"/>
        <v>1233</v>
      </c>
      <c r="Y30" s="2">
        <f t="shared" si="24"/>
        <v>781</v>
      </c>
      <c r="Z30" s="2"/>
      <c r="AA30" s="2">
        <v>34763685</v>
      </c>
      <c r="AB30" s="2">
        <f>'1.Смета.или.Акт'!F62</f>
        <v>5286.35</v>
      </c>
      <c r="AC30" s="2">
        <f t="shared" si="25"/>
        <v>2279.65</v>
      </c>
      <c r="AD30" s="2">
        <f>'1.Смета.или.Акт'!H62</f>
        <v>2.31</v>
      </c>
      <c r="AE30" s="2">
        <f>'1.Смета.или.Акт'!I62</f>
        <v>0</v>
      </c>
      <c r="AF30" s="2">
        <f>'1.Смета.или.Акт'!G62</f>
        <v>3004.39</v>
      </c>
      <c r="AG30" s="2">
        <f t="shared" si="26"/>
        <v>0</v>
      </c>
      <c r="AH30" s="2">
        <f t="shared" si="27"/>
        <v>323.39999999999998</v>
      </c>
      <c r="AI30" s="2">
        <f t="shared" si="28"/>
        <v>0</v>
      </c>
      <c r="AJ30" s="2">
        <f t="shared" si="29"/>
        <v>0</v>
      </c>
      <c r="AK30" s="2">
        <v>5286.35</v>
      </c>
      <c r="AL30" s="2">
        <v>2279.65</v>
      </c>
      <c r="AM30" s="2">
        <v>2.31</v>
      </c>
      <c r="AN30" s="2">
        <v>0</v>
      </c>
      <c r="AO30" s="2">
        <v>3004.39</v>
      </c>
      <c r="AP30" s="2">
        <v>0</v>
      </c>
      <c r="AQ30" s="2">
        <v>323.39999999999998</v>
      </c>
      <c r="AR30" s="2">
        <v>0</v>
      </c>
      <c r="AS30" s="2">
        <v>0</v>
      </c>
      <c r="AT30" s="2">
        <f>'1.Смета.или.Акт'!E63</f>
        <v>79</v>
      </c>
      <c r="AU30" s="2">
        <f>'1.Смета.или.Акт'!E64</f>
        <v>50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5</v>
      </c>
      <c r="BE30" s="2" t="s">
        <v>5</v>
      </c>
      <c r="BF30" s="2" t="s">
        <v>5</v>
      </c>
      <c r="BG30" s="2" t="s">
        <v>5</v>
      </c>
      <c r="BH30" s="2">
        <v>0</v>
      </c>
      <c r="BI30" s="2">
        <v>1</v>
      </c>
      <c r="BJ30" s="2" t="s">
        <v>34</v>
      </c>
      <c r="BK30" s="2"/>
      <c r="BL30" s="2"/>
      <c r="BM30" s="2">
        <v>61001</v>
      </c>
      <c r="BN30" s="2">
        <v>0</v>
      </c>
      <c r="BO30" s="2" t="s">
        <v>5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5</v>
      </c>
      <c r="BZ30" s="2">
        <v>79</v>
      </c>
      <c r="CA30" s="2">
        <v>50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5</v>
      </c>
      <c r="CO30" s="2">
        <v>0</v>
      </c>
      <c r="CP30" s="2">
        <f>IF('1.Смета.или.Акт'!F62=AC30+AD30+AF30,P30+Q30+S30,I30*AB30)</f>
        <v>2746</v>
      </c>
      <c r="CQ30" s="2">
        <f t="shared" si="30"/>
        <v>2279.65</v>
      </c>
      <c r="CR30" s="2">
        <f t="shared" si="31"/>
        <v>2.31</v>
      </c>
      <c r="CS30" s="2">
        <f t="shared" si="32"/>
        <v>0</v>
      </c>
      <c r="CT30" s="2">
        <f t="shared" si="33"/>
        <v>3004.39</v>
      </c>
      <c r="CU30" s="2">
        <f t="shared" si="34"/>
        <v>0</v>
      </c>
      <c r="CV30" s="2">
        <f t="shared" si="35"/>
        <v>323.39999999999998</v>
      </c>
      <c r="CW30" s="2">
        <f t="shared" si="36"/>
        <v>0</v>
      </c>
      <c r="CX30" s="2">
        <f t="shared" si="37"/>
        <v>0</v>
      </c>
      <c r="CY30" s="2">
        <f t="shared" si="38"/>
        <v>1233.19</v>
      </c>
      <c r="CZ30" s="2">
        <f t="shared" si="39"/>
        <v>780.5</v>
      </c>
      <c r="DA30" s="2"/>
      <c r="DB30" s="2"/>
      <c r="DC30" s="2" t="s">
        <v>5</v>
      </c>
      <c r="DD30" s="2" t="s">
        <v>5</v>
      </c>
      <c r="DE30" s="2" t="s">
        <v>5</v>
      </c>
      <c r="DF30" s="2" t="s">
        <v>5</v>
      </c>
      <c r="DG30" s="2" t="s">
        <v>5</v>
      </c>
      <c r="DH30" s="2" t="s">
        <v>5</v>
      </c>
      <c r="DI30" s="2" t="s">
        <v>5</v>
      </c>
      <c r="DJ30" s="2" t="s">
        <v>5</v>
      </c>
      <c r="DK30" s="2" t="s">
        <v>5</v>
      </c>
      <c r="DL30" s="2" t="s">
        <v>5</v>
      </c>
      <c r="DM30" s="2" t="s">
        <v>5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1005</v>
      </c>
      <c r="DV30" s="2" t="s">
        <v>15</v>
      </c>
      <c r="DW30" s="2" t="str">
        <f>'1.Смета.или.Акт'!D62</f>
        <v>100 м2</v>
      </c>
      <c r="DX30" s="2">
        <v>100</v>
      </c>
      <c r="DY30" s="2"/>
      <c r="DZ30" s="2"/>
      <c r="EA30" s="2"/>
      <c r="EB30" s="2"/>
      <c r="EC30" s="2"/>
      <c r="ED30" s="2"/>
      <c r="EE30" s="2">
        <v>32653441</v>
      </c>
      <c r="EF30" s="2">
        <v>6</v>
      </c>
      <c r="EG30" s="2" t="s">
        <v>24</v>
      </c>
      <c r="EH30" s="2">
        <v>0</v>
      </c>
      <c r="EI30" s="2" t="s">
        <v>5</v>
      </c>
      <c r="EJ30" s="2">
        <v>1</v>
      </c>
      <c r="EK30" s="2">
        <v>61001</v>
      </c>
      <c r="EL30" s="2" t="s">
        <v>25</v>
      </c>
      <c r="EM30" s="2" t="s">
        <v>26</v>
      </c>
      <c r="EN30" s="2"/>
      <c r="EO30" s="2" t="s">
        <v>5</v>
      </c>
      <c r="EP30" s="2"/>
      <c r="EQ30" s="2">
        <v>0</v>
      </c>
      <c r="ER30" s="2">
        <v>5286.35</v>
      </c>
      <c r="ES30" s="2">
        <v>2279.65</v>
      </c>
      <c r="ET30" s="2">
        <v>2.31</v>
      </c>
      <c r="EU30" s="2">
        <v>0</v>
      </c>
      <c r="EV30" s="2">
        <v>3004.39</v>
      </c>
      <c r="EW30" s="2">
        <v>323.39999999999998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0"/>
        <v>0</v>
      </c>
      <c r="FS30" s="2">
        <v>0</v>
      </c>
      <c r="FT30" s="2"/>
      <c r="FU30" s="2"/>
      <c r="FV30" s="2"/>
      <c r="FW30" s="2"/>
      <c r="FX30" s="2">
        <v>79</v>
      </c>
      <c r="FY30" s="2">
        <v>50</v>
      </c>
      <c r="FZ30" s="2"/>
      <c r="GA30" s="2" t="s">
        <v>5</v>
      </c>
      <c r="GB30" s="2"/>
      <c r="GC30" s="2"/>
      <c r="GD30" s="2">
        <v>0</v>
      </c>
      <c r="GE30" s="2"/>
      <c r="GF30" s="2">
        <v>1887461574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1"/>
        <v>0</v>
      </c>
      <c r="GM30" s="2">
        <f t="shared" si="42"/>
        <v>4760</v>
      </c>
      <c r="GN30" s="2">
        <f t="shared" si="43"/>
        <v>4760</v>
      </c>
      <c r="GO30" s="2">
        <f t="shared" si="44"/>
        <v>0</v>
      </c>
      <c r="GP30" s="2">
        <f t="shared" si="45"/>
        <v>0</v>
      </c>
      <c r="GQ30" s="2"/>
      <c r="GR30" s="2">
        <v>0</v>
      </c>
      <c r="GS30" s="2">
        <v>3</v>
      </c>
      <c r="GT30" s="2">
        <v>0</v>
      </c>
      <c r="GU30" s="2" t="s">
        <v>5</v>
      </c>
      <c r="GV30" s="2">
        <f t="shared" si="46"/>
        <v>0</v>
      </c>
      <c r="GW30" s="2">
        <v>1</v>
      </c>
      <c r="GX30" s="2">
        <f t="shared" si="47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 t="s">
        <v>333</v>
      </c>
      <c r="IM30" s="2">
        <v>0.51949999999999996</v>
      </c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ROW(SmtRes!A30)</f>
        <v>30</v>
      </c>
      <c r="D31">
        <f>ROW(EtalonRes!A40)</f>
        <v>40</v>
      </c>
      <c r="E31" t="s">
        <v>31</v>
      </c>
      <c r="F31" t="s">
        <v>32</v>
      </c>
      <c r="G31" t="s">
        <v>33</v>
      </c>
      <c r="H31" t="s">
        <v>15</v>
      </c>
      <c r="I31">
        <f>'1.Смета.или.Акт'!E62</f>
        <v>0.51949999999999996</v>
      </c>
      <c r="J31">
        <v>0</v>
      </c>
      <c r="O31">
        <f t="shared" si="14"/>
        <v>18619</v>
      </c>
      <c r="P31">
        <f t="shared" si="15"/>
        <v>8029</v>
      </c>
      <c r="Q31">
        <f t="shared" si="16"/>
        <v>8</v>
      </c>
      <c r="R31">
        <f t="shared" si="17"/>
        <v>0</v>
      </c>
      <c r="S31">
        <f t="shared" si="18"/>
        <v>10582</v>
      </c>
      <c r="T31">
        <f t="shared" si="19"/>
        <v>0</v>
      </c>
      <c r="U31">
        <f t="shared" si="20"/>
        <v>168.00629999999998</v>
      </c>
      <c r="V31">
        <f t="shared" si="21"/>
        <v>0</v>
      </c>
      <c r="W31">
        <f t="shared" si="22"/>
        <v>0</v>
      </c>
      <c r="X31">
        <f t="shared" si="23"/>
        <v>8360</v>
      </c>
      <c r="Y31">
        <f t="shared" si="24"/>
        <v>5291</v>
      </c>
      <c r="AA31">
        <v>34763707</v>
      </c>
      <c r="AB31">
        <f t="shared" si="48"/>
        <v>5286.35</v>
      </c>
      <c r="AC31">
        <f t="shared" si="25"/>
        <v>2279.65</v>
      </c>
      <c r="AD31">
        <f t="shared" si="49"/>
        <v>2.31</v>
      </c>
      <c r="AE31">
        <f t="shared" si="50"/>
        <v>0</v>
      </c>
      <c r="AF31">
        <f t="shared" si="51"/>
        <v>3004.39</v>
      </c>
      <c r="AG31">
        <f t="shared" si="26"/>
        <v>0</v>
      </c>
      <c r="AH31">
        <f t="shared" si="27"/>
        <v>323.39999999999998</v>
      </c>
      <c r="AI31">
        <f t="shared" si="28"/>
        <v>0</v>
      </c>
      <c r="AJ31">
        <f t="shared" si="29"/>
        <v>0</v>
      </c>
      <c r="AK31">
        <v>5286.35</v>
      </c>
      <c r="AL31">
        <v>2279.65</v>
      </c>
      <c r="AM31">
        <v>2.31</v>
      </c>
      <c r="AN31">
        <v>0</v>
      </c>
      <c r="AO31">
        <v>3004.39</v>
      </c>
      <c r="AP31">
        <v>0</v>
      </c>
      <c r="AQ31">
        <v>323.39999999999998</v>
      </c>
      <c r="AR31">
        <v>0</v>
      </c>
      <c r="AS31">
        <v>0</v>
      </c>
      <c r="AT31">
        <v>79</v>
      </c>
      <c r="AU31">
        <v>50</v>
      </c>
      <c r="AV31">
        <v>1</v>
      </c>
      <c r="AW31">
        <v>1</v>
      </c>
      <c r="AZ31">
        <v>6.78</v>
      </c>
      <c r="BA31">
        <v>6.78</v>
      </c>
      <c r="BB31">
        <v>6.78</v>
      </c>
      <c r="BC31">
        <v>6.78</v>
      </c>
      <c r="BD31" t="s">
        <v>5</v>
      </c>
      <c r="BE31" t="s">
        <v>5</v>
      </c>
      <c r="BF31" t="s">
        <v>5</v>
      </c>
      <c r="BG31" t="s">
        <v>5</v>
      </c>
      <c r="BH31">
        <v>0</v>
      </c>
      <c r="BI31">
        <v>1</v>
      </c>
      <c r="BJ31" t="s">
        <v>34</v>
      </c>
      <c r="BM31">
        <v>61001</v>
      </c>
      <c r="BN31">
        <v>0</v>
      </c>
      <c r="BO31" t="s">
        <v>5</v>
      </c>
      <c r="BP31">
        <v>0</v>
      </c>
      <c r="BQ31">
        <v>6</v>
      </c>
      <c r="BR31">
        <v>0</v>
      </c>
      <c r="BS31">
        <v>6.78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5</v>
      </c>
      <c r="BZ31">
        <v>79</v>
      </c>
      <c r="CA31">
        <v>50</v>
      </c>
      <c r="CF31">
        <v>0</v>
      </c>
      <c r="CG31">
        <v>0</v>
      </c>
      <c r="CM31">
        <v>0</v>
      </c>
      <c r="CN31" t="s">
        <v>5</v>
      </c>
      <c r="CO31">
        <v>0</v>
      </c>
      <c r="CP31">
        <f t="shared" si="52"/>
        <v>18619</v>
      </c>
      <c r="CQ31">
        <f t="shared" si="30"/>
        <v>15456.027000000002</v>
      </c>
      <c r="CR31">
        <f t="shared" si="31"/>
        <v>15.661800000000001</v>
      </c>
      <c r="CS31">
        <f t="shared" si="32"/>
        <v>0</v>
      </c>
      <c r="CT31">
        <f t="shared" si="33"/>
        <v>20369.764200000001</v>
      </c>
      <c r="CU31">
        <f t="shared" si="34"/>
        <v>0</v>
      </c>
      <c r="CV31">
        <f t="shared" si="35"/>
        <v>323.39999999999998</v>
      </c>
      <c r="CW31">
        <f t="shared" si="36"/>
        <v>0</v>
      </c>
      <c r="CX31">
        <f t="shared" si="37"/>
        <v>0</v>
      </c>
      <c r="CY31">
        <f t="shared" si="38"/>
        <v>8359.7800000000007</v>
      </c>
      <c r="CZ31">
        <f t="shared" si="39"/>
        <v>5291</v>
      </c>
      <c r="DC31" t="s">
        <v>5</v>
      </c>
      <c r="DD31" t="s">
        <v>5</v>
      </c>
      <c r="DE31" t="s">
        <v>5</v>
      </c>
      <c r="DF31" t="s">
        <v>5</v>
      </c>
      <c r="DG31" t="s">
        <v>5</v>
      </c>
      <c r="DH31" t="s">
        <v>5</v>
      </c>
      <c r="DI31" t="s">
        <v>5</v>
      </c>
      <c r="DJ31" t="s">
        <v>5</v>
      </c>
      <c r="DK31" t="s">
        <v>5</v>
      </c>
      <c r="DL31" t="s">
        <v>5</v>
      </c>
      <c r="DM31" t="s">
        <v>5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15</v>
      </c>
      <c r="DW31" t="s">
        <v>15</v>
      </c>
      <c r="DX31">
        <v>100</v>
      </c>
      <c r="EE31">
        <v>32653441</v>
      </c>
      <c r="EF31">
        <v>6</v>
      </c>
      <c r="EG31" t="s">
        <v>24</v>
      </c>
      <c r="EH31">
        <v>0</v>
      </c>
      <c r="EI31" t="s">
        <v>5</v>
      </c>
      <c r="EJ31">
        <v>1</v>
      </c>
      <c r="EK31">
        <v>61001</v>
      </c>
      <c r="EL31" t="s">
        <v>25</v>
      </c>
      <c r="EM31" t="s">
        <v>26</v>
      </c>
      <c r="EO31" t="s">
        <v>5</v>
      </c>
      <c r="EQ31">
        <v>0</v>
      </c>
      <c r="ER31">
        <v>5286.35</v>
      </c>
      <c r="ES31">
        <v>2279.65</v>
      </c>
      <c r="ET31">
        <v>2.31</v>
      </c>
      <c r="EU31">
        <v>0</v>
      </c>
      <c r="EV31">
        <v>3004.39</v>
      </c>
      <c r="EW31">
        <v>323.39999999999998</v>
      </c>
      <c r="EX31">
        <v>0</v>
      </c>
      <c r="EY31">
        <v>0</v>
      </c>
      <c r="FQ31">
        <v>0</v>
      </c>
      <c r="FR31">
        <f t="shared" si="40"/>
        <v>0</v>
      </c>
      <c r="FS31">
        <v>0</v>
      </c>
      <c r="FX31">
        <v>79</v>
      </c>
      <c r="FY31">
        <v>50</v>
      </c>
      <c r="GA31" t="s">
        <v>5</v>
      </c>
      <c r="GD31">
        <v>0</v>
      </c>
      <c r="GF31">
        <v>1887461574</v>
      </c>
      <c r="GG31">
        <v>1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1"/>
        <v>0</v>
      </c>
      <c r="GM31">
        <f t="shared" si="42"/>
        <v>32270</v>
      </c>
      <c r="GN31">
        <f t="shared" si="43"/>
        <v>32270</v>
      </c>
      <c r="GO31">
        <f t="shared" si="44"/>
        <v>0</v>
      </c>
      <c r="GP31">
        <f t="shared" si="45"/>
        <v>0</v>
      </c>
      <c r="GR31">
        <v>0</v>
      </c>
      <c r="GS31">
        <v>3</v>
      </c>
      <c r="GT31">
        <v>0</v>
      </c>
      <c r="GU31" t="s">
        <v>5</v>
      </c>
      <c r="GV31">
        <f t="shared" si="46"/>
        <v>0</v>
      </c>
      <c r="GW31">
        <v>1</v>
      </c>
      <c r="GX31">
        <f t="shared" si="47"/>
        <v>0</v>
      </c>
      <c r="HA31">
        <v>0</v>
      </c>
      <c r="HB31">
        <v>0</v>
      </c>
      <c r="IF31">
        <v>-1</v>
      </c>
      <c r="IK31">
        <v>0</v>
      </c>
      <c r="IL31" t="s">
        <v>333</v>
      </c>
      <c r="IM31">
        <v>0.51949999999999996</v>
      </c>
    </row>
    <row r="32" spans="1:255" x14ac:dyDescent="0.2">
      <c r="A32" s="2">
        <v>17</v>
      </c>
      <c r="B32" s="2">
        <v>1</v>
      </c>
      <c r="C32" s="2">
        <f>ROW(SmtRes!A39)</f>
        <v>39</v>
      </c>
      <c r="D32" s="2">
        <f>ROW(EtalonRes!A49)</f>
        <v>49</v>
      </c>
      <c r="E32" s="2" t="s">
        <v>35</v>
      </c>
      <c r="F32" s="2" t="s">
        <v>36</v>
      </c>
      <c r="G32" s="2" t="s">
        <v>37</v>
      </c>
      <c r="H32" s="2" t="s">
        <v>15</v>
      </c>
      <c r="I32" s="2">
        <f>'1.Смета.или.Акт'!E67</f>
        <v>4.7073</v>
      </c>
      <c r="J32" s="2">
        <v>0</v>
      </c>
      <c r="K32" s="2"/>
      <c r="L32" s="2"/>
      <c r="M32" s="2"/>
      <c r="N32" s="2"/>
      <c r="O32" s="2">
        <f t="shared" si="14"/>
        <v>1470</v>
      </c>
      <c r="P32" s="2">
        <f t="shared" si="15"/>
        <v>501</v>
      </c>
      <c r="Q32" s="2">
        <f t="shared" si="16"/>
        <v>3</v>
      </c>
      <c r="R32" s="2">
        <f t="shared" si="17"/>
        <v>1</v>
      </c>
      <c r="S32" s="2">
        <f t="shared" si="18"/>
        <v>966</v>
      </c>
      <c r="T32" s="2">
        <f t="shared" si="19"/>
        <v>0</v>
      </c>
      <c r="U32" s="2">
        <f t="shared" si="20"/>
        <v>113.210565</v>
      </c>
      <c r="V32" s="2">
        <f t="shared" si="21"/>
        <v>4.7073000000000004E-2</v>
      </c>
      <c r="W32" s="2">
        <f t="shared" si="22"/>
        <v>0</v>
      </c>
      <c r="X32" s="2">
        <f t="shared" si="23"/>
        <v>774</v>
      </c>
      <c r="Y32" s="2">
        <f t="shared" si="24"/>
        <v>484</v>
      </c>
      <c r="Z32" s="2"/>
      <c r="AA32" s="2">
        <v>34763685</v>
      </c>
      <c r="AB32" s="2">
        <f>'1.Смета.или.Акт'!F67</f>
        <v>312.22000000000003</v>
      </c>
      <c r="AC32" s="2">
        <f t="shared" si="25"/>
        <v>106.41</v>
      </c>
      <c r="AD32" s="2">
        <f>'1.Смета.или.Акт'!H67</f>
        <v>0.66</v>
      </c>
      <c r="AE32" s="2">
        <f>'1.Смета.или.Акт'!I67</f>
        <v>0.12</v>
      </c>
      <c r="AF32" s="2">
        <f>'1.Смета.или.Акт'!G67</f>
        <v>205.15</v>
      </c>
      <c r="AG32" s="2">
        <f t="shared" si="26"/>
        <v>0</v>
      </c>
      <c r="AH32" s="2">
        <f t="shared" si="27"/>
        <v>24.05</v>
      </c>
      <c r="AI32" s="2">
        <f t="shared" si="28"/>
        <v>0.01</v>
      </c>
      <c r="AJ32" s="2">
        <f t="shared" si="29"/>
        <v>0</v>
      </c>
      <c r="AK32" s="2">
        <v>312.22000000000003</v>
      </c>
      <c r="AL32" s="2">
        <v>106.41</v>
      </c>
      <c r="AM32" s="2">
        <v>0.66</v>
      </c>
      <c r="AN32" s="2">
        <v>0.12</v>
      </c>
      <c r="AO32" s="2">
        <v>205.15</v>
      </c>
      <c r="AP32" s="2">
        <v>0</v>
      </c>
      <c r="AQ32" s="2">
        <v>24.05</v>
      </c>
      <c r="AR32" s="2">
        <v>0.01</v>
      </c>
      <c r="AS32" s="2">
        <v>0</v>
      </c>
      <c r="AT32" s="2">
        <f>'1.Смета.или.Акт'!E68</f>
        <v>80</v>
      </c>
      <c r="AU32" s="2">
        <f>'1.Смета.или.Акт'!E69</f>
        <v>50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5</v>
      </c>
      <c r="BE32" s="2" t="s">
        <v>5</v>
      </c>
      <c r="BF32" s="2" t="s">
        <v>5</v>
      </c>
      <c r="BG32" s="2" t="s">
        <v>5</v>
      </c>
      <c r="BH32" s="2">
        <v>0</v>
      </c>
      <c r="BI32" s="2">
        <v>1</v>
      </c>
      <c r="BJ32" s="2" t="s">
        <v>38</v>
      </c>
      <c r="BK32" s="2"/>
      <c r="BL32" s="2"/>
      <c r="BM32" s="2">
        <v>62001</v>
      </c>
      <c r="BN32" s="2">
        <v>0</v>
      </c>
      <c r="BO32" s="2" t="s">
        <v>5</v>
      </c>
      <c r="BP32" s="2">
        <v>0</v>
      </c>
      <c r="BQ32" s="2">
        <v>6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5</v>
      </c>
      <c r="BZ32" s="2">
        <v>80</v>
      </c>
      <c r="CA32" s="2">
        <v>50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5</v>
      </c>
      <c r="CO32" s="2">
        <v>0</v>
      </c>
      <c r="CP32" s="2">
        <f>IF('1.Смета.или.Акт'!F67=AC32+AD32+AF32,P32+Q32+S32,I32*AB32)</f>
        <v>1470</v>
      </c>
      <c r="CQ32" s="2">
        <f t="shared" si="30"/>
        <v>106.41</v>
      </c>
      <c r="CR32" s="2">
        <f t="shared" si="31"/>
        <v>0.66</v>
      </c>
      <c r="CS32" s="2">
        <f t="shared" si="32"/>
        <v>0.12</v>
      </c>
      <c r="CT32" s="2">
        <f t="shared" si="33"/>
        <v>205.15</v>
      </c>
      <c r="CU32" s="2">
        <f t="shared" si="34"/>
        <v>0</v>
      </c>
      <c r="CV32" s="2">
        <f t="shared" si="35"/>
        <v>24.05</v>
      </c>
      <c r="CW32" s="2">
        <f t="shared" si="36"/>
        <v>0.01</v>
      </c>
      <c r="CX32" s="2">
        <f t="shared" si="37"/>
        <v>0</v>
      </c>
      <c r="CY32" s="2">
        <f t="shared" si="38"/>
        <v>773.6</v>
      </c>
      <c r="CZ32" s="2">
        <f t="shared" si="39"/>
        <v>483.5</v>
      </c>
      <c r="DA32" s="2"/>
      <c r="DB32" s="2"/>
      <c r="DC32" s="2" t="s">
        <v>5</v>
      </c>
      <c r="DD32" s="2" t="s">
        <v>5</v>
      </c>
      <c r="DE32" s="2" t="s">
        <v>5</v>
      </c>
      <c r="DF32" s="2" t="s">
        <v>5</v>
      </c>
      <c r="DG32" s="2" t="s">
        <v>5</v>
      </c>
      <c r="DH32" s="2" t="s">
        <v>5</v>
      </c>
      <c r="DI32" s="2" t="s">
        <v>5</v>
      </c>
      <c r="DJ32" s="2" t="s">
        <v>5</v>
      </c>
      <c r="DK32" s="2" t="s">
        <v>5</v>
      </c>
      <c r="DL32" s="2" t="s">
        <v>5</v>
      </c>
      <c r="DM32" s="2" t="s">
        <v>5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15</v>
      </c>
      <c r="DW32" s="2" t="str">
        <f>'1.Смета.или.Акт'!D67</f>
        <v>100 м2</v>
      </c>
      <c r="DX32" s="2">
        <v>100</v>
      </c>
      <c r="DY32" s="2"/>
      <c r="DZ32" s="2"/>
      <c r="EA32" s="2"/>
      <c r="EB32" s="2"/>
      <c r="EC32" s="2"/>
      <c r="ED32" s="2"/>
      <c r="EE32" s="2">
        <v>32653442</v>
      </c>
      <c r="EF32" s="2">
        <v>6</v>
      </c>
      <c r="EG32" s="2" t="s">
        <v>24</v>
      </c>
      <c r="EH32" s="2">
        <v>0</v>
      </c>
      <c r="EI32" s="2" t="s">
        <v>5</v>
      </c>
      <c r="EJ32" s="2">
        <v>1</v>
      </c>
      <c r="EK32" s="2">
        <v>62001</v>
      </c>
      <c r="EL32" s="2" t="s">
        <v>39</v>
      </c>
      <c r="EM32" s="2" t="s">
        <v>40</v>
      </c>
      <c r="EN32" s="2"/>
      <c r="EO32" s="2" t="s">
        <v>5</v>
      </c>
      <c r="EP32" s="2"/>
      <c r="EQ32" s="2">
        <v>0</v>
      </c>
      <c r="ER32" s="2">
        <v>312.22000000000003</v>
      </c>
      <c r="ES32" s="2">
        <v>106.41</v>
      </c>
      <c r="ET32" s="2">
        <v>0.66</v>
      </c>
      <c r="EU32" s="2">
        <v>0.12</v>
      </c>
      <c r="EV32" s="2">
        <v>205.15</v>
      </c>
      <c r="EW32" s="2">
        <v>24.05</v>
      </c>
      <c r="EX32" s="2">
        <v>0.01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0"/>
        <v>0</v>
      </c>
      <c r="FS32" s="2">
        <v>0</v>
      </c>
      <c r="FT32" s="2"/>
      <c r="FU32" s="2"/>
      <c r="FV32" s="2"/>
      <c r="FW32" s="2"/>
      <c r="FX32" s="2">
        <v>80</v>
      </c>
      <c r="FY32" s="2">
        <v>50</v>
      </c>
      <c r="FZ32" s="2"/>
      <c r="GA32" s="2" t="s">
        <v>5</v>
      </c>
      <c r="GB32" s="2"/>
      <c r="GC32" s="2"/>
      <c r="GD32" s="2">
        <v>0</v>
      </c>
      <c r="GE32" s="2"/>
      <c r="GF32" s="2">
        <v>1768856926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1"/>
        <v>0</v>
      </c>
      <c r="GM32" s="2">
        <f t="shared" si="42"/>
        <v>2728</v>
      </c>
      <c r="GN32" s="2">
        <f t="shared" si="43"/>
        <v>2728</v>
      </c>
      <c r="GO32" s="2">
        <f t="shared" si="44"/>
        <v>0</v>
      </c>
      <c r="GP32" s="2">
        <f t="shared" si="45"/>
        <v>0</v>
      </c>
      <c r="GQ32" s="2"/>
      <c r="GR32" s="2">
        <v>0</v>
      </c>
      <c r="GS32" s="2">
        <v>3</v>
      </c>
      <c r="GT32" s="2">
        <v>0</v>
      </c>
      <c r="GU32" s="2" t="s">
        <v>5</v>
      </c>
      <c r="GV32" s="2">
        <f t="shared" si="46"/>
        <v>0</v>
      </c>
      <c r="GW32" s="2">
        <v>1</v>
      </c>
      <c r="GX32" s="2">
        <f t="shared" si="47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 t="s">
        <v>334</v>
      </c>
      <c r="IM32" s="2">
        <v>4.7073</v>
      </c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ROW(SmtRes!A48)</f>
        <v>48</v>
      </c>
      <c r="D33">
        <f>ROW(EtalonRes!A58)</f>
        <v>58</v>
      </c>
      <c r="E33" t="s">
        <v>35</v>
      </c>
      <c r="F33" t="s">
        <v>36</v>
      </c>
      <c r="G33" t="s">
        <v>37</v>
      </c>
      <c r="H33" t="s">
        <v>15</v>
      </c>
      <c r="I33">
        <f>'1.Смета.или.Акт'!E67</f>
        <v>4.7073</v>
      </c>
      <c r="J33">
        <v>0</v>
      </c>
      <c r="O33">
        <f t="shared" si="14"/>
        <v>9964</v>
      </c>
      <c r="P33">
        <f t="shared" si="15"/>
        <v>3396</v>
      </c>
      <c r="Q33">
        <f t="shared" si="16"/>
        <v>21</v>
      </c>
      <c r="R33">
        <f t="shared" si="17"/>
        <v>4</v>
      </c>
      <c r="S33">
        <f t="shared" si="18"/>
        <v>6547</v>
      </c>
      <c r="T33">
        <f t="shared" si="19"/>
        <v>0</v>
      </c>
      <c r="U33">
        <f t="shared" si="20"/>
        <v>113.210565</v>
      </c>
      <c r="V33">
        <f t="shared" si="21"/>
        <v>4.7073000000000004E-2</v>
      </c>
      <c r="W33">
        <f t="shared" si="22"/>
        <v>0</v>
      </c>
      <c r="X33">
        <f t="shared" si="23"/>
        <v>5241</v>
      </c>
      <c r="Y33">
        <f t="shared" si="24"/>
        <v>3276</v>
      </c>
      <c r="AA33">
        <v>34763707</v>
      </c>
      <c r="AB33">
        <f t="shared" si="48"/>
        <v>312.22000000000003</v>
      </c>
      <c r="AC33">
        <f t="shared" si="25"/>
        <v>106.41</v>
      </c>
      <c r="AD33">
        <f t="shared" si="49"/>
        <v>0.66</v>
      </c>
      <c r="AE33">
        <f t="shared" si="50"/>
        <v>0.12</v>
      </c>
      <c r="AF33">
        <f t="shared" si="51"/>
        <v>205.15</v>
      </c>
      <c r="AG33">
        <f t="shared" si="26"/>
        <v>0</v>
      </c>
      <c r="AH33">
        <f t="shared" si="27"/>
        <v>24.05</v>
      </c>
      <c r="AI33">
        <f t="shared" si="28"/>
        <v>0.01</v>
      </c>
      <c r="AJ33">
        <f t="shared" si="29"/>
        <v>0</v>
      </c>
      <c r="AK33">
        <v>312.22000000000003</v>
      </c>
      <c r="AL33">
        <v>106.41</v>
      </c>
      <c r="AM33">
        <v>0.66</v>
      </c>
      <c r="AN33">
        <v>0.12</v>
      </c>
      <c r="AO33">
        <v>205.15</v>
      </c>
      <c r="AP33">
        <v>0</v>
      </c>
      <c r="AQ33">
        <v>24.05</v>
      </c>
      <c r="AR33">
        <v>0.01</v>
      </c>
      <c r="AS33">
        <v>0</v>
      </c>
      <c r="AT33">
        <v>80</v>
      </c>
      <c r="AU33">
        <v>50</v>
      </c>
      <c r="AV33">
        <v>1</v>
      </c>
      <c r="AW33">
        <v>1</v>
      </c>
      <c r="AZ33">
        <v>6.78</v>
      </c>
      <c r="BA33">
        <v>6.78</v>
      </c>
      <c r="BB33">
        <v>6.78</v>
      </c>
      <c r="BC33">
        <v>6.78</v>
      </c>
      <c r="BD33" t="s">
        <v>5</v>
      </c>
      <c r="BE33" t="s">
        <v>5</v>
      </c>
      <c r="BF33" t="s">
        <v>5</v>
      </c>
      <c r="BG33" t="s">
        <v>5</v>
      </c>
      <c r="BH33">
        <v>0</v>
      </c>
      <c r="BI33">
        <v>1</v>
      </c>
      <c r="BJ33" t="s">
        <v>38</v>
      </c>
      <c r="BM33">
        <v>62001</v>
      </c>
      <c r="BN33">
        <v>0</v>
      </c>
      <c r="BO33" t="s">
        <v>5</v>
      </c>
      <c r="BP33">
        <v>0</v>
      </c>
      <c r="BQ33">
        <v>6</v>
      </c>
      <c r="BR33">
        <v>0</v>
      </c>
      <c r="BS33">
        <v>6.78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5</v>
      </c>
      <c r="BZ33">
        <v>80</v>
      </c>
      <c r="CA33">
        <v>50</v>
      </c>
      <c r="CF33">
        <v>0</v>
      </c>
      <c r="CG33">
        <v>0</v>
      </c>
      <c r="CM33">
        <v>0</v>
      </c>
      <c r="CN33" t="s">
        <v>5</v>
      </c>
      <c r="CO33">
        <v>0</v>
      </c>
      <c r="CP33">
        <f t="shared" si="52"/>
        <v>9964</v>
      </c>
      <c r="CQ33">
        <f t="shared" si="30"/>
        <v>721.45979999999997</v>
      </c>
      <c r="CR33">
        <f t="shared" si="31"/>
        <v>4.4748000000000001</v>
      </c>
      <c r="CS33">
        <f t="shared" si="32"/>
        <v>0.81359999999999999</v>
      </c>
      <c r="CT33">
        <f t="shared" si="33"/>
        <v>1390.9170000000001</v>
      </c>
      <c r="CU33">
        <f t="shared" si="34"/>
        <v>0</v>
      </c>
      <c r="CV33">
        <f t="shared" si="35"/>
        <v>24.05</v>
      </c>
      <c r="CW33">
        <f t="shared" si="36"/>
        <v>0.01</v>
      </c>
      <c r="CX33">
        <f t="shared" si="37"/>
        <v>0</v>
      </c>
      <c r="CY33">
        <f t="shared" si="38"/>
        <v>5240.8</v>
      </c>
      <c r="CZ33">
        <f t="shared" si="39"/>
        <v>3275.5</v>
      </c>
      <c r="DC33" t="s">
        <v>5</v>
      </c>
      <c r="DD33" t="s">
        <v>5</v>
      </c>
      <c r="DE33" t="s">
        <v>5</v>
      </c>
      <c r="DF33" t="s">
        <v>5</v>
      </c>
      <c r="DG33" t="s">
        <v>5</v>
      </c>
      <c r="DH33" t="s">
        <v>5</v>
      </c>
      <c r="DI33" t="s">
        <v>5</v>
      </c>
      <c r="DJ33" t="s">
        <v>5</v>
      </c>
      <c r="DK33" t="s">
        <v>5</v>
      </c>
      <c r="DL33" t="s">
        <v>5</v>
      </c>
      <c r="DM33" t="s">
        <v>5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15</v>
      </c>
      <c r="DW33" t="s">
        <v>15</v>
      </c>
      <c r="DX33">
        <v>100</v>
      </c>
      <c r="EE33">
        <v>32653442</v>
      </c>
      <c r="EF33">
        <v>6</v>
      </c>
      <c r="EG33" t="s">
        <v>24</v>
      </c>
      <c r="EH33">
        <v>0</v>
      </c>
      <c r="EI33" t="s">
        <v>5</v>
      </c>
      <c r="EJ33">
        <v>1</v>
      </c>
      <c r="EK33">
        <v>62001</v>
      </c>
      <c r="EL33" t="s">
        <v>39</v>
      </c>
      <c r="EM33" t="s">
        <v>40</v>
      </c>
      <c r="EO33" t="s">
        <v>5</v>
      </c>
      <c r="EQ33">
        <v>0</v>
      </c>
      <c r="ER33">
        <v>312.22000000000003</v>
      </c>
      <c r="ES33">
        <v>106.41</v>
      </c>
      <c r="ET33">
        <v>0.66</v>
      </c>
      <c r="EU33">
        <v>0.12</v>
      </c>
      <c r="EV33">
        <v>205.15</v>
      </c>
      <c r="EW33">
        <v>24.05</v>
      </c>
      <c r="EX33">
        <v>0.01</v>
      </c>
      <c r="EY33">
        <v>0</v>
      </c>
      <c r="FQ33">
        <v>0</v>
      </c>
      <c r="FR33">
        <f t="shared" si="40"/>
        <v>0</v>
      </c>
      <c r="FS33">
        <v>0</v>
      </c>
      <c r="FX33">
        <v>80</v>
      </c>
      <c r="FY33">
        <v>50</v>
      </c>
      <c r="GA33" t="s">
        <v>5</v>
      </c>
      <c r="GD33">
        <v>0</v>
      </c>
      <c r="GF33">
        <v>1768856926</v>
      </c>
      <c r="GG33">
        <v>1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1"/>
        <v>0</v>
      </c>
      <c r="GM33">
        <f t="shared" si="42"/>
        <v>18481</v>
      </c>
      <c r="GN33">
        <f t="shared" si="43"/>
        <v>18481</v>
      </c>
      <c r="GO33">
        <f t="shared" si="44"/>
        <v>0</v>
      </c>
      <c r="GP33">
        <f t="shared" si="45"/>
        <v>0</v>
      </c>
      <c r="GR33">
        <v>0</v>
      </c>
      <c r="GS33">
        <v>3</v>
      </c>
      <c r="GT33">
        <v>0</v>
      </c>
      <c r="GU33" t="s">
        <v>5</v>
      </c>
      <c r="GV33">
        <f t="shared" si="46"/>
        <v>0</v>
      </c>
      <c r="GW33">
        <v>1</v>
      </c>
      <c r="GX33">
        <f t="shared" si="47"/>
        <v>0</v>
      </c>
      <c r="HA33">
        <v>0</v>
      </c>
      <c r="HB33">
        <v>0</v>
      </c>
      <c r="IF33">
        <v>-1</v>
      </c>
      <c r="IK33">
        <v>0</v>
      </c>
      <c r="IL33" t="s">
        <v>334</v>
      </c>
      <c r="IM33">
        <v>4.7073</v>
      </c>
    </row>
    <row r="34" spans="1:255" x14ac:dyDescent="0.2">
      <c r="A34" s="2">
        <v>18</v>
      </c>
      <c r="B34" s="2">
        <v>1</v>
      </c>
      <c r="C34" s="2">
        <v>39</v>
      </c>
      <c r="D34" s="2"/>
      <c r="E34" s="2" t="s">
        <v>41</v>
      </c>
      <c r="F34" s="2" t="str">
        <f>'1.Смета.или.Акт'!B72</f>
        <v>прайс-лист</v>
      </c>
      <c r="G34" s="2" t="str">
        <f>'1.Смета.или.Акт'!C72</f>
        <v>Цемент</v>
      </c>
      <c r="H34" s="2" t="s">
        <v>44</v>
      </c>
      <c r="I34" s="2">
        <f>I32*J34</f>
        <v>5.6487599999999999E-2</v>
      </c>
      <c r="J34" s="2">
        <v>1.2E-2</v>
      </c>
      <c r="K34" s="2"/>
      <c r="L34" s="2"/>
      <c r="M34" s="2"/>
      <c r="N34" s="2"/>
      <c r="O34" s="2">
        <f t="shared" si="14"/>
        <v>903</v>
      </c>
      <c r="P34" s="2">
        <f t="shared" si="15"/>
        <v>903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34763685</v>
      </c>
      <c r="AB34" s="2">
        <f t="shared" si="48"/>
        <v>15978.36</v>
      </c>
      <c r="AC34" s="2">
        <f>'1.Смета.или.Акт'!F72</f>
        <v>15978.36</v>
      </c>
      <c r="AD34" s="2">
        <f t="shared" si="49"/>
        <v>0</v>
      </c>
      <c r="AE34" s="2">
        <f t="shared" si="50"/>
        <v>0</v>
      </c>
      <c r="AF34" s="2">
        <f t="shared" si="51"/>
        <v>0</v>
      </c>
      <c r="AG34" s="2">
        <f t="shared" si="26"/>
        <v>0</v>
      </c>
      <c r="AH34" s="2">
        <f t="shared" si="27"/>
        <v>0</v>
      </c>
      <c r="AI34" s="2">
        <f t="shared" si="28"/>
        <v>0</v>
      </c>
      <c r="AJ34" s="2">
        <f t="shared" si="29"/>
        <v>0</v>
      </c>
      <c r="AK34" s="2">
        <v>15978.36</v>
      </c>
      <c r="AL34" s="2">
        <v>15978.36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5</v>
      </c>
      <c r="BE34" s="2" t="s">
        <v>5</v>
      </c>
      <c r="BF34" s="2" t="s">
        <v>5</v>
      </c>
      <c r="BG34" s="2" t="s">
        <v>5</v>
      </c>
      <c r="BH34" s="2">
        <v>3</v>
      </c>
      <c r="BI34" s="2">
        <v>1</v>
      </c>
      <c r="BJ34" s="2" t="s">
        <v>5</v>
      </c>
      <c r="BK34" s="2"/>
      <c r="BL34" s="2"/>
      <c r="BM34" s="2">
        <v>0</v>
      </c>
      <c r="BN34" s="2">
        <v>0</v>
      </c>
      <c r="BO34" s="2" t="s">
        <v>5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5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5</v>
      </c>
      <c r="CO34" s="2">
        <v>0</v>
      </c>
      <c r="CP34" s="2">
        <f>IF('1.Смета.или.Акт'!F72=AC34+AD34+AF34,P34+Q34+S34,I34*AB34)</f>
        <v>903</v>
      </c>
      <c r="CQ34" s="2">
        <f t="shared" si="30"/>
        <v>15978.36</v>
      </c>
      <c r="CR34" s="2">
        <f t="shared" si="31"/>
        <v>0</v>
      </c>
      <c r="CS34" s="2">
        <f t="shared" si="32"/>
        <v>0</v>
      </c>
      <c r="CT34" s="2">
        <f t="shared" si="33"/>
        <v>0</v>
      </c>
      <c r="CU34" s="2">
        <f t="shared" si="34"/>
        <v>0</v>
      </c>
      <c r="CV34" s="2">
        <f t="shared" si="35"/>
        <v>0</v>
      </c>
      <c r="CW34" s="2">
        <f t="shared" si="36"/>
        <v>0</v>
      </c>
      <c r="CX34" s="2">
        <f t="shared" si="37"/>
        <v>0</v>
      </c>
      <c r="CY34" s="2">
        <f t="shared" si="38"/>
        <v>0</v>
      </c>
      <c r="CZ34" s="2">
        <f t="shared" si="39"/>
        <v>0</v>
      </c>
      <c r="DA34" s="2"/>
      <c r="DB34" s="2"/>
      <c r="DC34" s="2" t="s">
        <v>5</v>
      </c>
      <c r="DD34" s="2" t="s">
        <v>5</v>
      </c>
      <c r="DE34" s="2" t="s">
        <v>5</v>
      </c>
      <c r="DF34" s="2" t="s">
        <v>5</v>
      </c>
      <c r="DG34" s="2" t="s">
        <v>5</v>
      </c>
      <c r="DH34" s="2" t="s">
        <v>5</v>
      </c>
      <c r="DI34" s="2" t="s">
        <v>5</v>
      </c>
      <c r="DJ34" s="2" t="s">
        <v>5</v>
      </c>
      <c r="DK34" s="2" t="s">
        <v>5</v>
      </c>
      <c r="DL34" s="2" t="s">
        <v>5</v>
      </c>
      <c r="DM34" s="2" t="s">
        <v>5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44</v>
      </c>
      <c r="DW34" s="2" t="str">
        <f>'1.Смета.или.Акт'!D72</f>
        <v>т</v>
      </c>
      <c r="DX34" s="2">
        <v>1000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45</v>
      </c>
      <c r="EH34" s="2">
        <v>0</v>
      </c>
      <c r="EI34" s="2" t="s">
        <v>5</v>
      </c>
      <c r="EJ34" s="2">
        <v>1</v>
      </c>
      <c r="EK34" s="2">
        <v>0</v>
      </c>
      <c r="EL34" s="2" t="s">
        <v>46</v>
      </c>
      <c r="EM34" s="2" t="s">
        <v>47</v>
      </c>
      <c r="EN34" s="2"/>
      <c r="EO34" s="2" t="s">
        <v>5</v>
      </c>
      <c r="EP34" s="2"/>
      <c r="EQ34" s="2">
        <v>0</v>
      </c>
      <c r="ER34" s="2">
        <v>0</v>
      </c>
      <c r="ES34" s="2">
        <v>15978.36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0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48</v>
      </c>
      <c r="GB34" s="2"/>
      <c r="GC34" s="2"/>
      <c r="GD34" s="2">
        <v>0</v>
      </c>
      <c r="GE34" s="2"/>
      <c r="GF34" s="2">
        <v>1638798479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1"/>
        <v>0</v>
      </c>
      <c r="GM34" s="2">
        <f t="shared" si="42"/>
        <v>903</v>
      </c>
      <c r="GN34" s="2">
        <f t="shared" si="43"/>
        <v>903</v>
      </c>
      <c r="GO34" s="2">
        <f t="shared" si="44"/>
        <v>0</v>
      </c>
      <c r="GP34" s="2">
        <f t="shared" si="45"/>
        <v>0</v>
      </c>
      <c r="GQ34" s="2"/>
      <c r="GR34" s="2">
        <v>0</v>
      </c>
      <c r="GS34" s="2">
        <v>2</v>
      </c>
      <c r="GT34" s="2">
        <v>0</v>
      </c>
      <c r="GU34" s="2" t="s">
        <v>5</v>
      </c>
      <c r="GV34" s="2">
        <f t="shared" si="46"/>
        <v>0</v>
      </c>
      <c r="GW34" s="2">
        <v>1</v>
      </c>
      <c r="GX34" s="2">
        <f t="shared" si="47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48</v>
      </c>
      <c r="E35" t="s">
        <v>41</v>
      </c>
      <c r="F35" t="s">
        <v>42</v>
      </c>
      <c r="G35" t="s">
        <v>43</v>
      </c>
      <c r="H35" t="s">
        <v>44</v>
      </c>
      <c r="I35">
        <f>I33*J35</f>
        <v>5.6487599999999999E-2</v>
      </c>
      <c r="J35">
        <v>1.2E-2</v>
      </c>
      <c r="O35">
        <f t="shared" si="14"/>
        <v>6119</v>
      </c>
      <c r="P35">
        <f t="shared" si="15"/>
        <v>6119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34763707</v>
      </c>
      <c r="AB35">
        <f t="shared" si="48"/>
        <v>15978.36</v>
      </c>
      <c r="AC35">
        <f t="shared" si="25"/>
        <v>15978.36</v>
      </c>
      <c r="AD35">
        <f t="shared" si="49"/>
        <v>0</v>
      </c>
      <c r="AE35">
        <f t="shared" si="50"/>
        <v>0</v>
      </c>
      <c r="AF35">
        <f t="shared" si="51"/>
        <v>0</v>
      </c>
      <c r="AG35">
        <f t="shared" si="26"/>
        <v>0</v>
      </c>
      <c r="AH35">
        <f t="shared" si="27"/>
        <v>0</v>
      </c>
      <c r="AI35">
        <f t="shared" si="28"/>
        <v>0</v>
      </c>
      <c r="AJ35">
        <f t="shared" si="29"/>
        <v>0</v>
      </c>
      <c r="AK35">
        <v>15978.36</v>
      </c>
      <c r="AL35">
        <v>15978.36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106</v>
      </c>
      <c r="AU35">
        <v>65</v>
      </c>
      <c r="AV35">
        <v>1</v>
      </c>
      <c r="AW35">
        <v>1</v>
      </c>
      <c r="AZ35">
        <v>6.78</v>
      </c>
      <c r="BA35">
        <v>1</v>
      </c>
      <c r="BB35">
        <v>1</v>
      </c>
      <c r="BC35">
        <v>6.78</v>
      </c>
      <c r="BD35" t="s">
        <v>5</v>
      </c>
      <c r="BE35" t="s">
        <v>5</v>
      </c>
      <c r="BF35" t="s">
        <v>5</v>
      </c>
      <c r="BG35" t="s">
        <v>5</v>
      </c>
      <c r="BH35">
        <v>3</v>
      </c>
      <c r="BI35">
        <v>1</v>
      </c>
      <c r="BJ35" t="s">
        <v>5</v>
      </c>
      <c r="BM35">
        <v>0</v>
      </c>
      <c r="BN35">
        <v>0</v>
      </c>
      <c r="BO35" t="s">
        <v>5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5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5</v>
      </c>
      <c r="CO35">
        <v>0</v>
      </c>
      <c r="CP35">
        <f t="shared" si="52"/>
        <v>6119</v>
      </c>
      <c r="CQ35">
        <f t="shared" si="30"/>
        <v>108333.28080000001</v>
      </c>
      <c r="CR35">
        <f t="shared" si="31"/>
        <v>0</v>
      </c>
      <c r="CS35">
        <f t="shared" si="32"/>
        <v>0</v>
      </c>
      <c r="CT35">
        <f t="shared" si="33"/>
        <v>0</v>
      </c>
      <c r="CU35">
        <f t="shared" si="34"/>
        <v>0</v>
      </c>
      <c r="CV35">
        <f t="shared" si="35"/>
        <v>0</v>
      </c>
      <c r="CW35">
        <f t="shared" si="36"/>
        <v>0</v>
      </c>
      <c r="CX35">
        <f t="shared" si="37"/>
        <v>0</v>
      </c>
      <c r="CY35">
        <f t="shared" si="38"/>
        <v>0</v>
      </c>
      <c r="CZ35">
        <f t="shared" si="39"/>
        <v>0</v>
      </c>
      <c r="DC35" t="s">
        <v>5</v>
      </c>
      <c r="DD35" t="s">
        <v>5</v>
      </c>
      <c r="DE35" t="s">
        <v>5</v>
      </c>
      <c r="DF35" t="s">
        <v>5</v>
      </c>
      <c r="DG35" t="s">
        <v>5</v>
      </c>
      <c r="DH35" t="s">
        <v>5</v>
      </c>
      <c r="DI35" t="s">
        <v>5</v>
      </c>
      <c r="DJ35" t="s">
        <v>5</v>
      </c>
      <c r="DK35" t="s">
        <v>5</v>
      </c>
      <c r="DL35" t="s">
        <v>5</v>
      </c>
      <c r="DM35" t="s">
        <v>5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44</v>
      </c>
      <c r="DW35" t="s">
        <v>44</v>
      </c>
      <c r="DX35">
        <v>1000</v>
      </c>
      <c r="EE35">
        <v>32653299</v>
      </c>
      <c r="EF35">
        <v>20</v>
      </c>
      <c r="EG35" t="s">
        <v>45</v>
      </c>
      <c r="EH35">
        <v>0</v>
      </c>
      <c r="EI35" t="s">
        <v>5</v>
      </c>
      <c r="EJ35">
        <v>1</v>
      </c>
      <c r="EK35">
        <v>0</v>
      </c>
      <c r="EL35" t="s">
        <v>46</v>
      </c>
      <c r="EM35" t="s">
        <v>47</v>
      </c>
      <c r="EO35" t="s">
        <v>5</v>
      </c>
      <c r="EQ35">
        <v>0</v>
      </c>
      <c r="ER35">
        <v>15978.36</v>
      </c>
      <c r="ES35">
        <v>15978.36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108333.3</v>
      </c>
      <c r="FQ35">
        <v>0</v>
      </c>
      <c r="FR35">
        <f t="shared" si="40"/>
        <v>0</v>
      </c>
      <c r="FS35">
        <v>0</v>
      </c>
      <c r="FX35">
        <v>106</v>
      </c>
      <c r="FY35">
        <v>65</v>
      </c>
      <c r="GA35" t="s">
        <v>48</v>
      </c>
      <c r="GD35">
        <v>0</v>
      </c>
      <c r="GF35">
        <v>1638798479</v>
      </c>
      <c r="GG35">
        <v>1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1"/>
        <v>0</v>
      </c>
      <c r="GM35">
        <f t="shared" si="42"/>
        <v>6119</v>
      </c>
      <c r="GN35">
        <f t="shared" si="43"/>
        <v>6119</v>
      </c>
      <c r="GO35">
        <f t="shared" si="44"/>
        <v>0</v>
      </c>
      <c r="GP35">
        <f t="shared" si="45"/>
        <v>0</v>
      </c>
      <c r="GR35">
        <v>1</v>
      </c>
      <c r="GS35">
        <v>1</v>
      </c>
      <c r="GT35">
        <v>0</v>
      </c>
      <c r="GU35" t="s">
        <v>5</v>
      </c>
      <c r="GV35">
        <f t="shared" si="46"/>
        <v>0</v>
      </c>
      <c r="GW35">
        <v>1</v>
      </c>
      <c r="GX35">
        <f t="shared" si="47"/>
        <v>0</v>
      </c>
      <c r="HA35">
        <v>0</v>
      </c>
      <c r="HB35"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ROW(SmtRes!A50)</f>
        <v>50</v>
      </c>
      <c r="D36" s="2">
        <f>ROW(EtalonRes!A61)</f>
        <v>61</v>
      </c>
      <c r="E36" s="2" t="s">
        <v>49</v>
      </c>
      <c r="F36" s="2" t="s">
        <v>50</v>
      </c>
      <c r="G36" s="2" t="s">
        <v>51</v>
      </c>
      <c r="H36" s="2" t="s">
        <v>52</v>
      </c>
      <c r="I36" s="2">
        <f>'1.Смета.или.Акт'!E74</f>
        <v>0.28299999999999997</v>
      </c>
      <c r="J36" s="2">
        <v>0</v>
      </c>
      <c r="K36" s="2"/>
      <c r="L36" s="2"/>
      <c r="M36" s="2"/>
      <c r="N36" s="2"/>
      <c r="O36" s="2">
        <f t="shared" si="14"/>
        <v>20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20</v>
      </c>
      <c r="T36" s="2">
        <f t="shared" si="19"/>
        <v>0</v>
      </c>
      <c r="U36" s="2">
        <f t="shared" si="20"/>
        <v>2.5752999999999995</v>
      </c>
      <c r="V36" s="2">
        <f t="shared" si="21"/>
        <v>0</v>
      </c>
      <c r="W36" s="2">
        <f t="shared" si="22"/>
        <v>0</v>
      </c>
      <c r="X36" s="2">
        <f t="shared" si="23"/>
        <v>17</v>
      </c>
      <c r="Y36" s="2">
        <f t="shared" si="24"/>
        <v>13</v>
      </c>
      <c r="Z36" s="2"/>
      <c r="AA36" s="2">
        <v>34763685</v>
      </c>
      <c r="AB36" s="2">
        <f>'1.Смета.или.Акт'!F74</f>
        <v>71.180000000000007</v>
      </c>
      <c r="AC36" s="2">
        <f t="shared" si="25"/>
        <v>0</v>
      </c>
      <c r="AD36" s="2">
        <f>'1.Смета.или.Акт'!H74</f>
        <v>0.2</v>
      </c>
      <c r="AE36" s="2">
        <f>'1.Смета.или.Акт'!I74</f>
        <v>0</v>
      </c>
      <c r="AF36" s="2">
        <f>'1.Смета.или.Акт'!G74</f>
        <v>70.98</v>
      </c>
      <c r="AG36" s="2">
        <f t="shared" si="26"/>
        <v>0</v>
      </c>
      <c r="AH36" s="2">
        <f t="shared" si="27"/>
        <v>9.1</v>
      </c>
      <c r="AI36" s="2">
        <f t="shared" si="28"/>
        <v>0</v>
      </c>
      <c r="AJ36" s="2">
        <f t="shared" si="29"/>
        <v>0</v>
      </c>
      <c r="AK36" s="2">
        <v>71.180000000000007</v>
      </c>
      <c r="AL36" s="2">
        <v>0</v>
      </c>
      <c r="AM36" s="2">
        <v>0.2</v>
      </c>
      <c r="AN36" s="2">
        <v>0</v>
      </c>
      <c r="AO36" s="2">
        <v>70.98</v>
      </c>
      <c r="AP36" s="2">
        <v>0</v>
      </c>
      <c r="AQ36" s="2">
        <v>9.1</v>
      </c>
      <c r="AR36" s="2">
        <v>0</v>
      </c>
      <c r="AS36" s="2">
        <v>0</v>
      </c>
      <c r="AT36" s="2">
        <f>'1.Смета.или.Акт'!E75</f>
        <v>83</v>
      </c>
      <c r="AU36" s="2">
        <f>'1.Смета.или.Акт'!E76</f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5</v>
      </c>
      <c r="BE36" s="2" t="s">
        <v>5</v>
      </c>
      <c r="BF36" s="2" t="s">
        <v>5</v>
      </c>
      <c r="BG36" s="2" t="s">
        <v>5</v>
      </c>
      <c r="BH36" s="2">
        <v>0</v>
      </c>
      <c r="BI36" s="2">
        <v>1</v>
      </c>
      <c r="BJ36" s="2" t="s">
        <v>53</v>
      </c>
      <c r="BK36" s="2"/>
      <c r="BL36" s="2"/>
      <c r="BM36" s="2">
        <v>58001</v>
      </c>
      <c r="BN36" s="2">
        <v>0</v>
      </c>
      <c r="BO36" s="2" t="s">
        <v>5</v>
      </c>
      <c r="BP36" s="2">
        <v>0</v>
      </c>
      <c r="BQ36" s="2">
        <v>6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5</v>
      </c>
      <c r="BZ36" s="2">
        <v>83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5</v>
      </c>
      <c r="CO36" s="2">
        <v>0</v>
      </c>
      <c r="CP36" s="2">
        <f>IF('1.Смета.или.Акт'!F74=AC36+AD36+AF36,P36+Q36+S36,I36*AB36)</f>
        <v>20</v>
      </c>
      <c r="CQ36" s="2">
        <f t="shared" si="30"/>
        <v>0</v>
      </c>
      <c r="CR36" s="2">
        <f t="shared" si="31"/>
        <v>0.2</v>
      </c>
      <c r="CS36" s="2">
        <f t="shared" si="32"/>
        <v>0</v>
      </c>
      <c r="CT36" s="2">
        <f t="shared" si="33"/>
        <v>70.98</v>
      </c>
      <c r="CU36" s="2">
        <f t="shared" si="34"/>
        <v>0</v>
      </c>
      <c r="CV36" s="2">
        <f t="shared" si="35"/>
        <v>9.1</v>
      </c>
      <c r="CW36" s="2">
        <f t="shared" si="36"/>
        <v>0</v>
      </c>
      <c r="CX36" s="2">
        <f t="shared" si="37"/>
        <v>0</v>
      </c>
      <c r="CY36" s="2">
        <f t="shared" si="38"/>
        <v>16.600000000000001</v>
      </c>
      <c r="CZ36" s="2">
        <f t="shared" si="39"/>
        <v>13</v>
      </c>
      <c r="DA36" s="2"/>
      <c r="DB36" s="2"/>
      <c r="DC36" s="2" t="s">
        <v>5</v>
      </c>
      <c r="DD36" s="2" t="s">
        <v>5</v>
      </c>
      <c r="DE36" s="2" t="s">
        <v>5</v>
      </c>
      <c r="DF36" s="2" t="s">
        <v>5</v>
      </c>
      <c r="DG36" s="2" t="s">
        <v>5</v>
      </c>
      <c r="DH36" s="2" t="s">
        <v>5</v>
      </c>
      <c r="DI36" s="2" t="s">
        <v>5</v>
      </c>
      <c r="DJ36" s="2" t="s">
        <v>5</v>
      </c>
      <c r="DK36" s="2" t="s">
        <v>5</v>
      </c>
      <c r="DL36" s="2" t="s">
        <v>5</v>
      </c>
      <c r="DM36" s="2" t="s">
        <v>5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52</v>
      </c>
      <c r="DW36" s="2" t="str">
        <f>'1.Смета.или.Акт'!D74</f>
        <v>100 м</v>
      </c>
      <c r="DX36" s="2">
        <v>100</v>
      </c>
      <c r="DY36" s="2"/>
      <c r="DZ36" s="2"/>
      <c r="EA36" s="2"/>
      <c r="EB36" s="2"/>
      <c r="EC36" s="2"/>
      <c r="ED36" s="2"/>
      <c r="EE36" s="2">
        <v>32653438</v>
      </c>
      <c r="EF36" s="2">
        <v>6</v>
      </c>
      <c r="EG36" s="2" t="s">
        <v>24</v>
      </c>
      <c r="EH36" s="2">
        <v>0</v>
      </c>
      <c r="EI36" s="2" t="s">
        <v>5</v>
      </c>
      <c r="EJ36" s="2">
        <v>1</v>
      </c>
      <c r="EK36" s="2">
        <v>58001</v>
      </c>
      <c r="EL36" s="2" t="s">
        <v>54</v>
      </c>
      <c r="EM36" s="2" t="s">
        <v>55</v>
      </c>
      <c r="EN36" s="2"/>
      <c r="EO36" s="2" t="s">
        <v>5</v>
      </c>
      <c r="EP36" s="2"/>
      <c r="EQ36" s="2">
        <v>0</v>
      </c>
      <c r="ER36" s="2">
        <v>71.180000000000007</v>
      </c>
      <c r="ES36" s="2">
        <v>0</v>
      </c>
      <c r="ET36" s="2">
        <v>0.2</v>
      </c>
      <c r="EU36" s="2">
        <v>0</v>
      </c>
      <c r="EV36" s="2">
        <v>70.98</v>
      </c>
      <c r="EW36" s="2">
        <v>9.1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0"/>
        <v>0</v>
      </c>
      <c r="FS36" s="2">
        <v>0</v>
      </c>
      <c r="FT36" s="2"/>
      <c r="FU36" s="2"/>
      <c r="FV36" s="2"/>
      <c r="FW36" s="2"/>
      <c r="FX36" s="2">
        <v>83</v>
      </c>
      <c r="FY36" s="2">
        <v>65</v>
      </c>
      <c r="FZ36" s="2"/>
      <c r="GA36" s="2" t="s">
        <v>5</v>
      </c>
      <c r="GB36" s="2"/>
      <c r="GC36" s="2"/>
      <c r="GD36" s="2">
        <v>0</v>
      </c>
      <c r="GE36" s="2"/>
      <c r="GF36" s="2">
        <v>-902764851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1"/>
        <v>0</v>
      </c>
      <c r="GM36" s="2">
        <f t="shared" si="42"/>
        <v>50</v>
      </c>
      <c r="GN36" s="2">
        <f t="shared" si="43"/>
        <v>50</v>
      </c>
      <c r="GO36" s="2">
        <f t="shared" si="44"/>
        <v>0</v>
      </c>
      <c r="GP36" s="2">
        <f t="shared" si="45"/>
        <v>0</v>
      </c>
      <c r="GQ36" s="2"/>
      <c r="GR36" s="2">
        <v>0</v>
      </c>
      <c r="GS36" s="2">
        <v>3</v>
      </c>
      <c r="GT36" s="2">
        <v>0</v>
      </c>
      <c r="GU36" s="2" t="s">
        <v>5</v>
      </c>
      <c r="GV36" s="2">
        <f t="shared" si="46"/>
        <v>0</v>
      </c>
      <c r="GW36" s="2">
        <v>1</v>
      </c>
      <c r="GX36" s="2">
        <f t="shared" si="47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 t="s">
        <v>335</v>
      </c>
      <c r="IM36" s="2">
        <v>0.28299999999999997</v>
      </c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ROW(EtalonRes!A64)</f>
        <v>64</v>
      </c>
      <c r="E37" t="s">
        <v>49</v>
      </c>
      <c r="F37" t="s">
        <v>50</v>
      </c>
      <c r="G37" t="s">
        <v>51</v>
      </c>
      <c r="H37" t="s">
        <v>52</v>
      </c>
      <c r="I37">
        <f>'1.Смета.или.Акт'!E74</f>
        <v>0.28299999999999997</v>
      </c>
      <c r="J37">
        <v>0</v>
      </c>
      <c r="O37">
        <f t="shared" si="14"/>
        <v>136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136</v>
      </c>
      <c r="T37">
        <f t="shared" si="19"/>
        <v>0</v>
      </c>
      <c r="U37">
        <f t="shared" si="20"/>
        <v>2.5752999999999995</v>
      </c>
      <c r="V37">
        <f t="shared" si="21"/>
        <v>0</v>
      </c>
      <c r="W37">
        <f t="shared" si="22"/>
        <v>0</v>
      </c>
      <c r="X37">
        <f t="shared" si="23"/>
        <v>113</v>
      </c>
      <c r="Y37">
        <f t="shared" si="24"/>
        <v>88</v>
      </c>
      <c r="AA37">
        <v>34763707</v>
      </c>
      <c r="AB37">
        <f t="shared" si="48"/>
        <v>71.180000000000007</v>
      </c>
      <c r="AC37">
        <f t="shared" si="25"/>
        <v>0</v>
      </c>
      <c r="AD37">
        <f t="shared" si="49"/>
        <v>0.2</v>
      </c>
      <c r="AE37">
        <f t="shared" si="50"/>
        <v>0</v>
      </c>
      <c r="AF37">
        <f t="shared" si="51"/>
        <v>70.98</v>
      </c>
      <c r="AG37">
        <f t="shared" si="26"/>
        <v>0</v>
      </c>
      <c r="AH37">
        <f t="shared" si="27"/>
        <v>9.1</v>
      </c>
      <c r="AI37">
        <f t="shared" si="28"/>
        <v>0</v>
      </c>
      <c r="AJ37">
        <f t="shared" si="29"/>
        <v>0</v>
      </c>
      <c r="AK37">
        <v>71.180000000000007</v>
      </c>
      <c r="AL37">
        <v>0</v>
      </c>
      <c r="AM37">
        <v>0.2</v>
      </c>
      <c r="AN37">
        <v>0</v>
      </c>
      <c r="AO37">
        <v>70.98</v>
      </c>
      <c r="AP37">
        <v>0</v>
      </c>
      <c r="AQ37">
        <v>9.1</v>
      </c>
      <c r="AR37">
        <v>0</v>
      </c>
      <c r="AS37">
        <v>0</v>
      </c>
      <c r="AT37">
        <v>83</v>
      </c>
      <c r="AU37">
        <v>65</v>
      </c>
      <c r="AV37">
        <v>1</v>
      </c>
      <c r="AW37">
        <v>1</v>
      </c>
      <c r="AZ37">
        <v>6.78</v>
      </c>
      <c r="BA37">
        <v>6.78</v>
      </c>
      <c r="BB37">
        <v>6.78</v>
      </c>
      <c r="BC37">
        <v>6.78</v>
      </c>
      <c r="BD37" t="s">
        <v>5</v>
      </c>
      <c r="BE37" t="s">
        <v>5</v>
      </c>
      <c r="BF37" t="s">
        <v>5</v>
      </c>
      <c r="BG37" t="s">
        <v>5</v>
      </c>
      <c r="BH37">
        <v>0</v>
      </c>
      <c r="BI37">
        <v>1</v>
      </c>
      <c r="BJ37" t="s">
        <v>53</v>
      </c>
      <c r="BM37">
        <v>58001</v>
      </c>
      <c r="BN37">
        <v>0</v>
      </c>
      <c r="BO37" t="s">
        <v>5</v>
      </c>
      <c r="BP37">
        <v>0</v>
      </c>
      <c r="BQ37">
        <v>6</v>
      </c>
      <c r="BR37">
        <v>0</v>
      </c>
      <c r="BS37">
        <v>6.78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5</v>
      </c>
      <c r="BZ37">
        <v>83</v>
      </c>
      <c r="CA37">
        <v>65</v>
      </c>
      <c r="CF37">
        <v>0</v>
      </c>
      <c r="CG37">
        <v>0</v>
      </c>
      <c r="CM37">
        <v>0</v>
      </c>
      <c r="CN37" t="s">
        <v>5</v>
      </c>
      <c r="CO37">
        <v>0</v>
      </c>
      <c r="CP37">
        <f t="shared" si="52"/>
        <v>136</v>
      </c>
      <c r="CQ37">
        <f t="shared" si="30"/>
        <v>0</v>
      </c>
      <c r="CR37">
        <f t="shared" si="31"/>
        <v>1.3560000000000001</v>
      </c>
      <c r="CS37">
        <f t="shared" si="32"/>
        <v>0</v>
      </c>
      <c r="CT37">
        <f t="shared" si="33"/>
        <v>481.24440000000004</v>
      </c>
      <c r="CU37">
        <f t="shared" si="34"/>
        <v>0</v>
      </c>
      <c r="CV37">
        <f t="shared" si="35"/>
        <v>9.1</v>
      </c>
      <c r="CW37">
        <f t="shared" si="36"/>
        <v>0</v>
      </c>
      <c r="CX37">
        <f t="shared" si="37"/>
        <v>0</v>
      </c>
      <c r="CY37">
        <f t="shared" si="38"/>
        <v>112.88</v>
      </c>
      <c r="CZ37">
        <f t="shared" si="39"/>
        <v>88.4</v>
      </c>
      <c r="DC37" t="s">
        <v>5</v>
      </c>
      <c r="DD37" t="s">
        <v>5</v>
      </c>
      <c r="DE37" t="s">
        <v>5</v>
      </c>
      <c r="DF37" t="s">
        <v>5</v>
      </c>
      <c r="DG37" t="s">
        <v>5</v>
      </c>
      <c r="DH37" t="s">
        <v>5</v>
      </c>
      <c r="DI37" t="s">
        <v>5</v>
      </c>
      <c r="DJ37" t="s">
        <v>5</v>
      </c>
      <c r="DK37" t="s">
        <v>5</v>
      </c>
      <c r="DL37" t="s">
        <v>5</v>
      </c>
      <c r="DM37" t="s">
        <v>5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52</v>
      </c>
      <c r="DW37" t="s">
        <v>52</v>
      </c>
      <c r="DX37">
        <v>100</v>
      </c>
      <c r="EE37">
        <v>32653438</v>
      </c>
      <c r="EF37">
        <v>6</v>
      </c>
      <c r="EG37" t="s">
        <v>24</v>
      </c>
      <c r="EH37">
        <v>0</v>
      </c>
      <c r="EI37" t="s">
        <v>5</v>
      </c>
      <c r="EJ37">
        <v>1</v>
      </c>
      <c r="EK37">
        <v>58001</v>
      </c>
      <c r="EL37" t="s">
        <v>54</v>
      </c>
      <c r="EM37" t="s">
        <v>55</v>
      </c>
      <c r="EO37" t="s">
        <v>5</v>
      </c>
      <c r="EQ37">
        <v>0</v>
      </c>
      <c r="ER37">
        <v>71.180000000000007</v>
      </c>
      <c r="ES37">
        <v>0</v>
      </c>
      <c r="ET37">
        <v>0.2</v>
      </c>
      <c r="EU37">
        <v>0</v>
      </c>
      <c r="EV37">
        <v>70.98</v>
      </c>
      <c r="EW37">
        <v>9.1</v>
      </c>
      <c r="EX37">
        <v>0</v>
      </c>
      <c r="EY37">
        <v>0</v>
      </c>
      <c r="FQ37">
        <v>0</v>
      </c>
      <c r="FR37">
        <f t="shared" si="40"/>
        <v>0</v>
      </c>
      <c r="FS37">
        <v>0</v>
      </c>
      <c r="FX37">
        <v>83</v>
      </c>
      <c r="FY37">
        <v>65</v>
      </c>
      <c r="GA37" t="s">
        <v>5</v>
      </c>
      <c r="GD37">
        <v>0</v>
      </c>
      <c r="GF37">
        <v>-902764851</v>
      </c>
      <c r="GG37">
        <v>1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1"/>
        <v>0</v>
      </c>
      <c r="GM37">
        <f t="shared" si="42"/>
        <v>337</v>
      </c>
      <c r="GN37">
        <f t="shared" si="43"/>
        <v>337</v>
      </c>
      <c r="GO37">
        <f t="shared" si="44"/>
        <v>0</v>
      </c>
      <c r="GP37">
        <f t="shared" si="45"/>
        <v>0</v>
      </c>
      <c r="GR37">
        <v>0</v>
      </c>
      <c r="GS37">
        <v>3</v>
      </c>
      <c r="GT37">
        <v>0</v>
      </c>
      <c r="GU37" t="s">
        <v>5</v>
      </c>
      <c r="GV37">
        <f t="shared" si="46"/>
        <v>0</v>
      </c>
      <c r="GW37">
        <v>1</v>
      </c>
      <c r="GX37">
        <f t="shared" si="47"/>
        <v>0</v>
      </c>
      <c r="HA37">
        <v>0</v>
      </c>
      <c r="HB37">
        <v>0</v>
      </c>
      <c r="IF37">
        <v>-1</v>
      </c>
      <c r="IK37">
        <v>0</v>
      </c>
      <c r="IL37" t="s">
        <v>335</v>
      </c>
      <c r="IM37">
        <v>0.28299999999999997</v>
      </c>
    </row>
    <row r="38" spans="1:255" x14ac:dyDescent="0.2">
      <c r="A38" s="2">
        <v>17</v>
      </c>
      <c r="B38" s="2">
        <v>1</v>
      </c>
      <c r="C38" s="2">
        <f>ROW(SmtRes!A59)</f>
        <v>59</v>
      </c>
      <c r="D38" s="2">
        <f>ROW(EtalonRes!A71)</f>
        <v>71</v>
      </c>
      <c r="E38" s="2" t="s">
        <v>56</v>
      </c>
      <c r="F38" s="2" t="s">
        <v>57</v>
      </c>
      <c r="G38" s="2" t="s">
        <v>58</v>
      </c>
      <c r="H38" s="2" t="s">
        <v>15</v>
      </c>
      <c r="I38" s="2">
        <f>'1.Смета.или.Акт'!E79</f>
        <v>3.15E-2</v>
      </c>
      <c r="J38" s="2">
        <v>0</v>
      </c>
      <c r="K38" s="2"/>
      <c r="L38" s="2"/>
      <c r="M38" s="2"/>
      <c r="N38" s="2"/>
      <c r="O38" s="2">
        <f t="shared" si="14"/>
        <v>311</v>
      </c>
      <c r="P38" s="2">
        <f t="shared" si="15"/>
        <v>280</v>
      </c>
      <c r="Q38" s="2">
        <f t="shared" si="16"/>
        <v>1</v>
      </c>
      <c r="R38" s="2">
        <f t="shared" si="17"/>
        <v>0</v>
      </c>
      <c r="S38" s="2">
        <f t="shared" si="18"/>
        <v>30</v>
      </c>
      <c r="T38" s="2">
        <f t="shared" si="19"/>
        <v>0</v>
      </c>
      <c r="U38" s="2">
        <f t="shared" si="20"/>
        <v>3.551625</v>
      </c>
      <c r="V38" s="2">
        <f t="shared" si="21"/>
        <v>8.5050000000000004E-3</v>
      </c>
      <c r="W38" s="2">
        <f t="shared" si="22"/>
        <v>0</v>
      </c>
      <c r="X38" s="2">
        <f t="shared" si="23"/>
        <v>36</v>
      </c>
      <c r="Y38" s="2">
        <f t="shared" si="24"/>
        <v>20</v>
      </c>
      <c r="Z38" s="2"/>
      <c r="AA38" s="2">
        <v>34763685</v>
      </c>
      <c r="AB38" s="2">
        <f>'1.Смета.или.Акт'!F79</f>
        <v>9874.2199999999993</v>
      </c>
      <c r="AC38" s="2">
        <f t="shared" si="25"/>
        <v>8890.58</v>
      </c>
      <c r="AD38" s="2">
        <f>'1.Смета.или.Акт'!H79</f>
        <v>21.88</v>
      </c>
      <c r="AE38" s="2">
        <f>'1.Смета.или.Акт'!I79</f>
        <v>3.51</v>
      </c>
      <c r="AF38" s="2">
        <f>'1.Смета.или.Акт'!G79</f>
        <v>961.76</v>
      </c>
      <c r="AG38" s="2">
        <f t="shared" si="26"/>
        <v>0</v>
      </c>
      <c r="AH38" s="2">
        <f t="shared" si="27"/>
        <v>112.75</v>
      </c>
      <c r="AI38" s="2">
        <f t="shared" si="28"/>
        <v>0.27</v>
      </c>
      <c r="AJ38" s="2">
        <f t="shared" si="29"/>
        <v>0</v>
      </c>
      <c r="AK38" s="2">
        <v>9874.2199999999993</v>
      </c>
      <c r="AL38" s="2">
        <v>8890.58</v>
      </c>
      <c r="AM38" s="2">
        <v>21.88</v>
      </c>
      <c r="AN38" s="2">
        <v>3.51</v>
      </c>
      <c r="AO38" s="2">
        <v>961.76</v>
      </c>
      <c r="AP38" s="2">
        <v>0</v>
      </c>
      <c r="AQ38" s="2">
        <v>112.75</v>
      </c>
      <c r="AR38" s="2">
        <v>0.27</v>
      </c>
      <c r="AS38" s="2">
        <v>0</v>
      </c>
      <c r="AT38" s="2">
        <f>'1.Смета.или.Акт'!E80</f>
        <v>120</v>
      </c>
      <c r="AU38" s="2">
        <f>'1.Смета.или.Акт'!E81</f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5</v>
      </c>
      <c r="BE38" s="2" t="s">
        <v>5</v>
      </c>
      <c r="BF38" s="2" t="s">
        <v>5</v>
      </c>
      <c r="BG38" s="2" t="s">
        <v>5</v>
      </c>
      <c r="BH38" s="2">
        <v>0</v>
      </c>
      <c r="BI38" s="2">
        <v>1</v>
      </c>
      <c r="BJ38" s="2" t="s">
        <v>59</v>
      </c>
      <c r="BK38" s="2"/>
      <c r="BL38" s="2"/>
      <c r="BM38" s="2">
        <v>12001</v>
      </c>
      <c r="BN38" s="2">
        <v>0</v>
      </c>
      <c r="BO38" s="2" t="s">
        <v>5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5</v>
      </c>
      <c r="BZ38" s="2">
        <v>120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5</v>
      </c>
      <c r="CO38" s="2">
        <v>0</v>
      </c>
      <c r="CP38" s="2">
        <f>IF('1.Смета.или.Акт'!F79=AC38+AD38+AF38,P38+Q38+S38,I38*AB38)</f>
        <v>311</v>
      </c>
      <c r="CQ38" s="2">
        <f t="shared" si="30"/>
        <v>8890.58</v>
      </c>
      <c r="CR38" s="2">
        <f t="shared" si="31"/>
        <v>21.88</v>
      </c>
      <c r="CS38" s="2">
        <f t="shared" si="32"/>
        <v>3.51</v>
      </c>
      <c r="CT38" s="2">
        <f t="shared" si="33"/>
        <v>961.76</v>
      </c>
      <c r="CU38" s="2">
        <f t="shared" si="34"/>
        <v>0</v>
      </c>
      <c r="CV38" s="2">
        <f t="shared" si="35"/>
        <v>112.75</v>
      </c>
      <c r="CW38" s="2">
        <f t="shared" si="36"/>
        <v>0.27</v>
      </c>
      <c r="CX38" s="2">
        <f t="shared" si="37"/>
        <v>0</v>
      </c>
      <c r="CY38" s="2">
        <f t="shared" si="38"/>
        <v>36</v>
      </c>
      <c r="CZ38" s="2">
        <f t="shared" si="39"/>
        <v>19.5</v>
      </c>
      <c r="DA38" s="2"/>
      <c r="DB38" s="2"/>
      <c r="DC38" s="2" t="s">
        <v>5</v>
      </c>
      <c r="DD38" s="2" t="s">
        <v>5</v>
      </c>
      <c r="DE38" s="2" t="s">
        <v>5</v>
      </c>
      <c r="DF38" s="2" t="s">
        <v>5</v>
      </c>
      <c r="DG38" s="2" t="s">
        <v>5</v>
      </c>
      <c r="DH38" s="2" t="s">
        <v>5</v>
      </c>
      <c r="DI38" s="2" t="s">
        <v>5</v>
      </c>
      <c r="DJ38" s="2" t="s">
        <v>5</v>
      </c>
      <c r="DK38" s="2" t="s">
        <v>5</v>
      </c>
      <c r="DL38" s="2" t="s">
        <v>5</v>
      </c>
      <c r="DM38" s="2" t="s">
        <v>5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1005</v>
      </c>
      <c r="DV38" s="2" t="s">
        <v>15</v>
      </c>
      <c r="DW38" s="2" t="str">
        <f>'1.Смета.или.Акт'!D79</f>
        <v>100 м2</v>
      </c>
      <c r="DX38" s="2">
        <v>100</v>
      </c>
      <c r="DY38" s="2"/>
      <c r="DZ38" s="2"/>
      <c r="EA38" s="2"/>
      <c r="EB38" s="2"/>
      <c r="EC38" s="2"/>
      <c r="ED38" s="2"/>
      <c r="EE38" s="2">
        <v>32653360</v>
      </c>
      <c r="EF38" s="2">
        <v>1</v>
      </c>
      <c r="EG38" s="2" t="s">
        <v>17</v>
      </c>
      <c r="EH38" s="2">
        <v>0</v>
      </c>
      <c r="EI38" s="2" t="s">
        <v>5</v>
      </c>
      <c r="EJ38" s="2">
        <v>1</v>
      </c>
      <c r="EK38" s="2">
        <v>12001</v>
      </c>
      <c r="EL38" s="2" t="s">
        <v>60</v>
      </c>
      <c r="EM38" s="2" t="s">
        <v>61</v>
      </c>
      <c r="EN38" s="2"/>
      <c r="EO38" s="2" t="s">
        <v>5</v>
      </c>
      <c r="EP38" s="2"/>
      <c r="EQ38" s="2">
        <v>0</v>
      </c>
      <c r="ER38" s="2">
        <v>9874.2199999999993</v>
      </c>
      <c r="ES38" s="2">
        <v>8890.58</v>
      </c>
      <c r="ET38" s="2">
        <v>21.88</v>
      </c>
      <c r="EU38" s="2">
        <v>3.51</v>
      </c>
      <c r="EV38" s="2">
        <v>961.76</v>
      </c>
      <c r="EW38" s="2">
        <v>112.75</v>
      </c>
      <c r="EX38" s="2">
        <v>0.27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0"/>
        <v>0</v>
      </c>
      <c r="FS38" s="2">
        <v>0</v>
      </c>
      <c r="FT38" s="2"/>
      <c r="FU38" s="2"/>
      <c r="FV38" s="2"/>
      <c r="FW38" s="2"/>
      <c r="FX38" s="2">
        <v>120</v>
      </c>
      <c r="FY38" s="2">
        <v>65</v>
      </c>
      <c r="FZ38" s="2"/>
      <c r="GA38" s="2" t="s">
        <v>5</v>
      </c>
      <c r="GB38" s="2"/>
      <c r="GC38" s="2"/>
      <c r="GD38" s="2">
        <v>0</v>
      </c>
      <c r="GE38" s="2"/>
      <c r="GF38" s="2">
        <v>-1197977700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1"/>
        <v>0</v>
      </c>
      <c r="GM38" s="2">
        <f t="shared" si="42"/>
        <v>367</v>
      </c>
      <c r="GN38" s="2">
        <f t="shared" si="43"/>
        <v>367</v>
      </c>
      <c r="GO38" s="2">
        <f t="shared" si="44"/>
        <v>0</v>
      </c>
      <c r="GP38" s="2">
        <f t="shared" si="45"/>
        <v>0</v>
      </c>
      <c r="GQ38" s="2"/>
      <c r="GR38" s="2">
        <v>0</v>
      </c>
      <c r="GS38" s="2">
        <v>3</v>
      </c>
      <c r="GT38" s="2">
        <v>0</v>
      </c>
      <c r="GU38" s="2" t="s">
        <v>5</v>
      </c>
      <c r="GV38" s="2">
        <f t="shared" si="46"/>
        <v>0</v>
      </c>
      <c r="GW38" s="2">
        <v>1</v>
      </c>
      <c r="GX38" s="2">
        <f t="shared" si="47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 t="s">
        <v>336</v>
      </c>
      <c r="IM38" s="2">
        <v>3.15E-2</v>
      </c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ROW(SmtRes!A66)</f>
        <v>66</v>
      </c>
      <c r="D39">
        <f>ROW(EtalonRes!A78)</f>
        <v>78</v>
      </c>
      <c r="E39" t="s">
        <v>56</v>
      </c>
      <c r="F39" t="s">
        <v>57</v>
      </c>
      <c r="G39" t="s">
        <v>58</v>
      </c>
      <c r="H39" t="s">
        <v>15</v>
      </c>
      <c r="I39">
        <f>'1.Смета.или.Акт'!E79</f>
        <v>3.15E-2</v>
      </c>
      <c r="J39">
        <v>0</v>
      </c>
      <c r="O39">
        <f t="shared" si="14"/>
        <v>2109</v>
      </c>
      <c r="P39">
        <f t="shared" si="15"/>
        <v>1899</v>
      </c>
      <c r="Q39">
        <f t="shared" si="16"/>
        <v>5</v>
      </c>
      <c r="R39">
        <f t="shared" si="17"/>
        <v>1</v>
      </c>
      <c r="S39">
        <f t="shared" si="18"/>
        <v>205</v>
      </c>
      <c r="T39">
        <f t="shared" si="19"/>
        <v>0</v>
      </c>
      <c r="U39">
        <f t="shared" si="20"/>
        <v>3.551625</v>
      </c>
      <c r="V39">
        <f t="shared" si="21"/>
        <v>8.5050000000000004E-3</v>
      </c>
      <c r="W39">
        <f t="shared" si="22"/>
        <v>0</v>
      </c>
      <c r="X39">
        <f t="shared" si="23"/>
        <v>247</v>
      </c>
      <c r="Y39">
        <f t="shared" si="24"/>
        <v>134</v>
      </c>
      <c r="AA39">
        <v>34763707</v>
      </c>
      <c r="AB39">
        <f t="shared" si="48"/>
        <v>9874.2199999999993</v>
      </c>
      <c r="AC39">
        <f t="shared" si="25"/>
        <v>8890.58</v>
      </c>
      <c r="AD39">
        <f t="shared" si="49"/>
        <v>21.88</v>
      </c>
      <c r="AE39">
        <f t="shared" si="50"/>
        <v>3.51</v>
      </c>
      <c r="AF39">
        <f t="shared" si="51"/>
        <v>961.76</v>
      </c>
      <c r="AG39">
        <f t="shared" si="26"/>
        <v>0</v>
      </c>
      <c r="AH39">
        <f t="shared" si="27"/>
        <v>112.75</v>
      </c>
      <c r="AI39">
        <f t="shared" si="28"/>
        <v>0.27</v>
      </c>
      <c r="AJ39">
        <f t="shared" si="29"/>
        <v>0</v>
      </c>
      <c r="AK39">
        <v>9874.2199999999993</v>
      </c>
      <c r="AL39">
        <v>8890.58</v>
      </c>
      <c r="AM39">
        <v>21.88</v>
      </c>
      <c r="AN39">
        <v>3.51</v>
      </c>
      <c r="AO39">
        <v>961.76</v>
      </c>
      <c r="AP39">
        <v>0</v>
      </c>
      <c r="AQ39">
        <v>112.75</v>
      </c>
      <c r="AR39">
        <v>0.27</v>
      </c>
      <c r="AS39">
        <v>0</v>
      </c>
      <c r="AT39">
        <v>120</v>
      </c>
      <c r="AU39">
        <v>65</v>
      </c>
      <c r="AV39">
        <v>1</v>
      </c>
      <c r="AW39">
        <v>1</v>
      </c>
      <c r="AZ39">
        <v>6.78</v>
      </c>
      <c r="BA39">
        <v>6.78</v>
      </c>
      <c r="BB39">
        <v>6.78</v>
      </c>
      <c r="BC39">
        <v>6.78</v>
      </c>
      <c r="BD39" t="s">
        <v>5</v>
      </c>
      <c r="BE39" t="s">
        <v>5</v>
      </c>
      <c r="BF39" t="s">
        <v>5</v>
      </c>
      <c r="BG39" t="s">
        <v>5</v>
      </c>
      <c r="BH39">
        <v>0</v>
      </c>
      <c r="BI39">
        <v>1</v>
      </c>
      <c r="BJ39" t="s">
        <v>59</v>
      </c>
      <c r="BM39">
        <v>12001</v>
      </c>
      <c r="BN39">
        <v>0</v>
      </c>
      <c r="BO39" t="s">
        <v>5</v>
      </c>
      <c r="BP39">
        <v>0</v>
      </c>
      <c r="BQ39">
        <v>1</v>
      </c>
      <c r="BR39">
        <v>0</v>
      </c>
      <c r="BS39">
        <v>6.78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5</v>
      </c>
      <c r="BZ39">
        <v>120</v>
      </c>
      <c r="CA39">
        <v>65</v>
      </c>
      <c r="CF39">
        <v>0</v>
      </c>
      <c r="CG39">
        <v>0</v>
      </c>
      <c r="CM39">
        <v>0</v>
      </c>
      <c r="CN39" t="s">
        <v>5</v>
      </c>
      <c r="CO39">
        <v>0</v>
      </c>
      <c r="CP39">
        <f t="shared" si="52"/>
        <v>2109</v>
      </c>
      <c r="CQ39">
        <f t="shared" si="30"/>
        <v>60278.132400000002</v>
      </c>
      <c r="CR39">
        <f t="shared" si="31"/>
        <v>148.34639999999999</v>
      </c>
      <c r="CS39">
        <f t="shared" si="32"/>
        <v>23.797799999999999</v>
      </c>
      <c r="CT39">
        <f t="shared" si="33"/>
        <v>6520.7327999999998</v>
      </c>
      <c r="CU39">
        <f t="shared" si="34"/>
        <v>0</v>
      </c>
      <c r="CV39">
        <f t="shared" si="35"/>
        <v>112.75</v>
      </c>
      <c r="CW39">
        <f t="shared" si="36"/>
        <v>0.27</v>
      </c>
      <c r="CX39">
        <f t="shared" si="37"/>
        <v>0</v>
      </c>
      <c r="CY39">
        <f t="shared" si="38"/>
        <v>247.2</v>
      </c>
      <c r="CZ39">
        <f t="shared" si="39"/>
        <v>133.9</v>
      </c>
      <c r="DC39" t="s">
        <v>5</v>
      </c>
      <c r="DD39" t="s">
        <v>5</v>
      </c>
      <c r="DE39" t="s">
        <v>5</v>
      </c>
      <c r="DF39" t="s">
        <v>5</v>
      </c>
      <c r="DG39" t="s">
        <v>5</v>
      </c>
      <c r="DH39" t="s">
        <v>5</v>
      </c>
      <c r="DI39" t="s">
        <v>5</v>
      </c>
      <c r="DJ39" t="s">
        <v>5</v>
      </c>
      <c r="DK39" t="s">
        <v>5</v>
      </c>
      <c r="DL39" t="s">
        <v>5</v>
      </c>
      <c r="DM39" t="s">
        <v>5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15</v>
      </c>
      <c r="DW39" t="s">
        <v>15</v>
      </c>
      <c r="DX39">
        <v>100</v>
      </c>
      <c r="EE39">
        <v>32653360</v>
      </c>
      <c r="EF39">
        <v>1</v>
      </c>
      <c r="EG39" t="s">
        <v>17</v>
      </c>
      <c r="EH39">
        <v>0</v>
      </c>
      <c r="EI39" t="s">
        <v>5</v>
      </c>
      <c r="EJ39">
        <v>1</v>
      </c>
      <c r="EK39">
        <v>12001</v>
      </c>
      <c r="EL39" t="s">
        <v>60</v>
      </c>
      <c r="EM39" t="s">
        <v>61</v>
      </c>
      <c r="EO39" t="s">
        <v>5</v>
      </c>
      <c r="EQ39">
        <v>0</v>
      </c>
      <c r="ER39">
        <v>9874.2199999999993</v>
      </c>
      <c r="ES39">
        <v>8890.58</v>
      </c>
      <c r="ET39">
        <v>21.88</v>
      </c>
      <c r="EU39">
        <v>3.51</v>
      </c>
      <c r="EV39">
        <v>961.76</v>
      </c>
      <c r="EW39">
        <v>112.75</v>
      </c>
      <c r="EX39">
        <v>0.27</v>
      </c>
      <c r="EY39">
        <v>0</v>
      </c>
      <c r="FQ39">
        <v>0</v>
      </c>
      <c r="FR39">
        <f t="shared" si="40"/>
        <v>0</v>
      </c>
      <c r="FS39">
        <v>0</v>
      </c>
      <c r="FX39">
        <v>120</v>
      </c>
      <c r="FY39">
        <v>65</v>
      </c>
      <c r="GA39" t="s">
        <v>5</v>
      </c>
      <c r="GD39">
        <v>0</v>
      </c>
      <c r="GF39">
        <v>-1197977700</v>
      </c>
      <c r="GG39">
        <v>1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1"/>
        <v>0</v>
      </c>
      <c r="GM39">
        <f t="shared" si="42"/>
        <v>2490</v>
      </c>
      <c r="GN39">
        <f t="shared" si="43"/>
        <v>2490</v>
      </c>
      <c r="GO39">
        <f t="shared" si="44"/>
        <v>0</v>
      </c>
      <c r="GP39">
        <f t="shared" si="45"/>
        <v>0</v>
      </c>
      <c r="GR39">
        <v>0</v>
      </c>
      <c r="GS39">
        <v>3</v>
      </c>
      <c r="GT39">
        <v>0</v>
      </c>
      <c r="GU39" t="s">
        <v>5</v>
      </c>
      <c r="GV39">
        <f t="shared" si="46"/>
        <v>0</v>
      </c>
      <c r="GW39">
        <v>1</v>
      </c>
      <c r="GX39">
        <f t="shared" si="47"/>
        <v>0</v>
      </c>
      <c r="HA39">
        <v>0</v>
      </c>
      <c r="HB39">
        <v>0</v>
      </c>
      <c r="IF39">
        <v>-1</v>
      </c>
      <c r="IK39">
        <v>0</v>
      </c>
      <c r="IL39" t="s">
        <v>336</v>
      </c>
      <c r="IM39">
        <v>3.15E-2</v>
      </c>
    </row>
    <row r="40" spans="1:255" x14ac:dyDescent="0.2">
      <c r="A40" s="2">
        <v>17</v>
      </c>
      <c r="B40" s="2">
        <v>1</v>
      </c>
      <c r="C40" s="2">
        <f>ROW(SmtRes!A71)</f>
        <v>71</v>
      </c>
      <c r="D40" s="2">
        <f>ROW(EtalonRes!A83)</f>
        <v>83</v>
      </c>
      <c r="E40" s="2" t="s">
        <v>62</v>
      </c>
      <c r="F40" s="2" t="s">
        <v>63</v>
      </c>
      <c r="G40" s="2" t="s">
        <v>64</v>
      </c>
      <c r="H40" s="2" t="s">
        <v>15</v>
      </c>
      <c r="I40" s="2">
        <f>'1.Смета.или.Акт'!E84</f>
        <v>0.2515</v>
      </c>
      <c r="J40" s="2">
        <v>0</v>
      </c>
      <c r="K40" s="2"/>
      <c r="L40" s="2"/>
      <c r="M40" s="2"/>
      <c r="N40" s="2"/>
      <c r="O40" s="2">
        <f t="shared" si="14"/>
        <v>101</v>
      </c>
      <c r="P40" s="2">
        <f t="shared" si="15"/>
        <v>90</v>
      </c>
      <c r="Q40" s="2">
        <f t="shared" si="16"/>
        <v>0</v>
      </c>
      <c r="R40" s="2">
        <f t="shared" si="17"/>
        <v>0</v>
      </c>
      <c r="S40" s="2">
        <f t="shared" si="18"/>
        <v>11</v>
      </c>
      <c r="T40" s="2">
        <f t="shared" si="19"/>
        <v>0</v>
      </c>
      <c r="U40" s="2">
        <f t="shared" si="20"/>
        <v>1.2323500000000001</v>
      </c>
      <c r="V40" s="2">
        <f t="shared" si="21"/>
        <v>2.5149999999999999E-3</v>
      </c>
      <c r="W40" s="2">
        <f t="shared" si="22"/>
        <v>0</v>
      </c>
      <c r="X40" s="2">
        <f t="shared" si="23"/>
        <v>13</v>
      </c>
      <c r="Y40" s="2">
        <f t="shared" si="24"/>
        <v>7</v>
      </c>
      <c r="Z40" s="2"/>
      <c r="AA40" s="2">
        <v>34763685</v>
      </c>
      <c r="AB40" s="2">
        <f>'1.Смета.или.Акт'!F84</f>
        <v>401.53000000000003</v>
      </c>
      <c r="AC40" s="2">
        <f t="shared" si="25"/>
        <v>359.07</v>
      </c>
      <c r="AD40" s="2">
        <f>'1.Смета.или.Акт'!H84</f>
        <v>0.66</v>
      </c>
      <c r="AE40" s="2">
        <f>'1.Смета.или.Акт'!I84</f>
        <v>0.12</v>
      </c>
      <c r="AF40" s="2">
        <f>'1.Смета.или.Акт'!G84</f>
        <v>41.8</v>
      </c>
      <c r="AG40" s="2">
        <f t="shared" si="26"/>
        <v>0</v>
      </c>
      <c r="AH40" s="2">
        <f t="shared" si="27"/>
        <v>4.9000000000000004</v>
      </c>
      <c r="AI40" s="2">
        <f t="shared" si="28"/>
        <v>0.01</v>
      </c>
      <c r="AJ40" s="2">
        <f t="shared" si="29"/>
        <v>0</v>
      </c>
      <c r="AK40" s="2">
        <v>401.53</v>
      </c>
      <c r="AL40" s="2">
        <v>359.07</v>
      </c>
      <c r="AM40" s="2">
        <v>0.66</v>
      </c>
      <c r="AN40" s="2">
        <v>0.12</v>
      </c>
      <c r="AO40" s="2">
        <v>41.8</v>
      </c>
      <c r="AP40" s="2">
        <v>0</v>
      </c>
      <c r="AQ40" s="2">
        <v>4.9000000000000004</v>
      </c>
      <c r="AR40" s="2">
        <v>0.01</v>
      </c>
      <c r="AS40" s="2">
        <v>0</v>
      </c>
      <c r="AT40" s="2">
        <f>'1.Смета.или.Акт'!E85</f>
        <v>120</v>
      </c>
      <c r="AU40" s="2">
        <f>'1.Смета.или.Акт'!E86</f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5</v>
      </c>
      <c r="BE40" s="2" t="s">
        <v>5</v>
      </c>
      <c r="BF40" s="2" t="s">
        <v>5</v>
      </c>
      <c r="BG40" s="2" t="s">
        <v>5</v>
      </c>
      <c r="BH40" s="2">
        <v>0</v>
      </c>
      <c r="BI40" s="2">
        <v>1</v>
      </c>
      <c r="BJ40" s="2" t="s">
        <v>65</v>
      </c>
      <c r="BK40" s="2"/>
      <c r="BL40" s="2"/>
      <c r="BM40" s="2">
        <v>12001</v>
      </c>
      <c r="BN40" s="2">
        <v>0</v>
      </c>
      <c r="BO40" s="2" t="s">
        <v>5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5</v>
      </c>
      <c r="BZ40" s="2">
        <v>120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5</v>
      </c>
      <c r="CO40" s="2">
        <v>0</v>
      </c>
      <c r="CP40" s="2">
        <f>IF('1.Смета.или.Акт'!F84=AC40+AD40+AF40,P40+Q40+S40,I40*AB40)</f>
        <v>101</v>
      </c>
      <c r="CQ40" s="2">
        <f t="shared" si="30"/>
        <v>359.07</v>
      </c>
      <c r="CR40" s="2">
        <f t="shared" si="31"/>
        <v>0.66</v>
      </c>
      <c r="CS40" s="2">
        <f t="shared" si="32"/>
        <v>0.12</v>
      </c>
      <c r="CT40" s="2">
        <f t="shared" si="33"/>
        <v>41.8</v>
      </c>
      <c r="CU40" s="2">
        <f t="shared" si="34"/>
        <v>0</v>
      </c>
      <c r="CV40" s="2">
        <f t="shared" si="35"/>
        <v>4.9000000000000004</v>
      </c>
      <c r="CW40" s="2">
        <f t="shared" si="36"/>
        <v>0.01</v>
      </c>
      <c r="CX40" s="2">
        <f t="shared" si="37"/>
        <v>0</v>
      </c>
      <c r="CY40" s="2">
        <f t="shared" si="38"/>
        <v>13.2</v>
      </c>
      <c r="CZ40" s="2">
        <f t="shared" si="39"/>
        <v>7.15</v>
      </c>
      <c r="DA40" s="2"/>
      <c r="DB40" s="2"/>
      <c r="DC40" s="2" t="s">
        <v>5</v>
      </c>
      <c r="DD40" s="2" t="s">
        <v>5</v>
      </c>
      <c r="DE40" s="2" t="s">
        <v>5</v>
      </c>
      <c r="DF40" s="2" t="s">
        <v>5</v>
      </c>
      <c r="DG40" s="2" t="s">
        <v>5</v>
      </c>
      <c r="DH40" s="2" t="s">
        <v>5</v>
      </c>
      <c r="DI40" s="2" t="s">
        <v>5</v>
      </c>
      <c r="DJ40" s="2" t="s">
        <v>5</v>
      </c>
      <c r="DK40" s="2" t="s">
        <v>5</v>
      </c>
      <c r="DL40" s="2" t="s">
        <v>5</v>
      </c>
      <c r="DM40" s="2" t="s">
        <v>5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1005</v>
      </c>
      <c r="DV40" s="2" t="s">
        <v>15</v>
      </c>
      <c r="DW40" s="2" t="str">
        <f>'1.Смета.или.Акт'!D84</f>
        <v>100 м2</v>
      </c>
      <c r="DX40" s="2">
        <v>100</v>
      </c>
      <c r="DY40" s="2"/>
      <c r="DZ40" s="2"/>
      <c r="EA40" s="2"/>
      <c r="EB40" s="2"/>
      <c r="EC40" s="2"/>
      <c r="ED40" s="2"/>
      <c r="EE40" s="2">
        <v>32653360</v>
      </c>
      <c r="EF40" s="2">
        <v>1</v>
      </c>
      <c r="EG40" s="2" t="s">
        <v>17</v>
      </c>
      <c r="EH40" s="2">
        <v>0</v>
      </c>
      <c r="EI40" s="2" t="s">
        <v>5</v>
      </c>
      <c r="EJ40" s="2">
        <v>1</v>
      </c>
      <c r="EK40" s="2">
        <v>12001</v>
      </c>
      <c r="EL40" s="2" t="s">
        <v>60</v>
      </c>
      <c r="EM40" s="2" t="s">
        <v>61</v>
      </c>
      <c r="EN40" s="2"/>
      <c r="EO40" s="2" t="s">
        <v>5</v>
      </c>
      <c r="EP40" s="2"/>
      <c r="EQ40" s="2">
        <v>0</v>
      </c>
      <c r="ER40" s="2">
        <v>401.53</v>
      </c>
      <c r="ES40" s="2">
        <v>359.07</v>
      </c>
      <c r="ET40" s="2">
        <v>0.66</v>
      </c>
      <c r="EU40" s="2">
        <v>0.12</v>
      </c>
      <c r="EV40" s="2">
        <v>41.8</v>
      </c>
      <c r="EW40" s="2">
        <v>4.9000000000000004</v>
      </c>
      <c r="EX40" s="2">
        <v>0.01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0"/>
        <v>0</v>
      </c>
      <c r="FS40" s="2">
        <v>0</v>
      </c>
      <c r="FT40" s="2"/>
      <c r="FU40" s="2"/>
      <c r="FV40" s="2"/>
      <c r="FW40" s="2"/>
      <c r="FX40" s="2">
        <v>120</v>
      </c>
      <c r="FY40" s="2">
        <v>65</v>
      </c>
      <c r="FZ40" s="2"/>
      <c r="GA40" s="2" t="s">
        <v>5</v>
      </c>
      <c r="GB40" s="2"/>
      <c r="GC40" s="2"/>
      <c r="GD40" s="2">
        <v>0</v>
      </c>
      <c r="GE40" s="2"/>
      <c r="GF40" s="2">
        <v>-233808591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1"/>
        <v>0</v>
      </c>
      <c r="GM40" s="2">
        <f t="shared" si="42"/>
        <v>121</v>
      </c>
      <c r="GN40" s="2">
        <f t="shared" si="43"/>
        <v>121</v>
      </c>
      <c r="GO40" s="2">
        <f t="shared" si="44"/>
        <v>0</v>
      </c>
      <c r="GP40" s="2">
        <f t="shared" si="45"/>
        <v>0</v>
      </c>
      <c r="GQ40" s="2"/>
      <c r="GR40" s="2">
        <v>0</v>
      </c>
      <c r="GS40" s="2">
        <v>3</v>
      </c>
      <c r="GT40" s="2">
        <v>0</v>
      </c>
      <c r="GU40" s="2" t="s">
        <v>5</v>
      </c>
      <c r="GV40" s="2">
        <f t="shared" si="46"/>
        <v>0</v>
      </c>
      <c r="GW40" s="2">
        <v>1</v>
      </c>
      <c r="GX40" s="2">
        <f t="shared" si="47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 t="s">
        <v>337</v>
      </c>
      <c r="IM40" s="2">
        <v>0.2515</v>
      </c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ROW(SmtRes!A76)</f>
        <v>76</v>
      </c>
      <c r="D41">
        <f>ROW(EtalonRes!A88)</f>
        <v>88</v>
      </c>
      <c r="E41" t="s">
        <v>62</v>
      </c>
      <c r="F41" t="s">
        <v>63</v>
      </c>
      <c r="G41" t="s">
        <v>64</v>
      </c>
      <c r="H41" t="s">
        <v>15</v>
      </c>
      <c r="I41">
        <f>'1.Смета.или.Акт'!E84</f>
        <v>0.2515</v>
      </c>
      <c r="J41">
        <v>0</v>
      </c>
      <c r="O41">
        <f t="shared" si="14"/>
        <v>684</v>
      </c>
      <c r="P41">
        <f t="shared" si="15"/>
        <v>612</v>
      </c>
      <c r="Q41">
        <f t="shared" si="16"/>
        <v>1</v>
      </c>
      <c r="R41">
        <f t="shared" si="17"/>
        <v>0</v>
      </c>
      <c r="S41">
        <f t="shared" si="18"/>
        <v>71</v>
      </c>
      <c r="T41">
        <f t="shared" si="19"/>
        <v>0</v>
      </c>
      <c r="U41">
        <f t="shared" si="20"/>
        <v>1.2323500000000001</v>
      </c>
      <c r="V41">
        <f t="shared" si="21"/>
        <v>2.5149999999999999E-3</v>
      </c>
      <c r="W41">
        <f t="shared" si="22"/>
        <v>0</v>
      </c>
      <c r="X41">
        <f t="shared" si="23"/>
        <v>85</v>
      </c>
      <c r="Y41">
        <f t="shared" si="24"/>
        <v>46</v>
      </c>
      <c r="AA41">
        <v>34763707</v>
      </c>
      <c r="AB41">
        <f t="shared" si="48"/>
        <v>401.53</v>
      </c>
      <c r="AC41">
        <f t="shared" si="25"/>
        <v>359.07</v>
      </c>
      <c r="AD41">
        <f t="shared" si="49"/>
        <v>0.66</v>
      </c>
      <c r="AE41">
        <f t="shared" si="50"/>
        <v>0.12</v>
      </c>
      <c r="AF41">
        <f t="shared" si="51"/>
        <v>41.8</v>
      </c>
      <c r="AG41">
        <f t="shared" si="26"/>
        <v>0</v>
      </c>
      <c r="AH41">
        <f t="shared" si="27"/>
        <v>4.9000000000000004</v>
      </c>
      <c r="AI41">
        <f t="shared" si="28"/>
        <v>0.01</v>
      </c>
      <c r="AJ41">
        <f t="shared" si="29"/>
        <v>0</v>
      </c>
      <c r="AK41">
        <v>401.53</v>
      </c>
      <c r="AL41">
        <v>359.07</v>
      </c>
      <c r="AM41">
        <v>0.66</v>
      </c>
      <c r="AN41">
        <v>0.12</v>
      </c>
      <c r="AO41">
        <v>41.8</v>
      </c>
      <c r="AP41">
        <v>0</v>
      </c>
      <c r="AQ41">
        <v>4.9000000000000004</v>
      </c>
      <c r="AR41">
        <v>0.01</v>
      </c>
      <c r="AS41">
        <v>0</v>
      </c>
      <c r="AT41">
        <v>120</v>
      </c>
      <c r="AU41">
        <v>65</v>
      </c>
      <c r="AV41">
        <v>1</v>
      </c>
      <c r="AW41">
        <v>1</v>
      </c>
      <c r="AZ41">
        <v>6.78</v>
      </c>
      <c r="BA41">
        <v>6.78</v>
      </c>
      <c r="BB41">
        <v>6.78</v>
      </c>
      <c r="BC41">
        <v>6.78</v>
      </c>
      <c r="BD41" t="s">
        <v>5</v>
      </c>
      <c r="BE41" t="s">
        <v>5</v>
      </c>
      <c r="BF41" t="s">
        <v>5</v>
      </c>
      <c r="BG41" t="s">
        <v>5</v>
      </c>
      <c r="BH41">
        <v>0</v>
      </c>
      <c r="BI41">
        <v>1</v>
      </c>
      <c r="BJ41" t="s">
        <v>65</v>
      </c>
      <c r="BM41">
        <v>12001</v>
      </c>
      <c r="BN41">
        <v>0</v>
      </c>
      <c r="BO41" t="s">
        <v>5</v>
      </c>
      <c r="BP41">
        <v>0</v>
      </c>
      <c r="BQ41">
        <v>1</v>
      </c>
      <c r="BR41">
        <v>0</v>
      </c>
      <c r="BS41">
        <v>6.78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5</v>
      </c>
      <c r="BZ41">
        <v>120</v>
      </c>
      <c r="CA41">
        <v>65</v>
      </c>
      <c r="CF41">
        <v>0</v>
      </c>
      <c r="CG41">
        <v>0</v>
      </c>
      <c r="CM41">
        <v>0</v>
      </c>
      <c r="CN41" t="s">
        <v>5</v>
      </c>
      <c r="CO41">
        <v>0</v>
      </c>
      <c r="CP41">
        <f t="shared" si="52"/>
        <v>684</v>
      </c>
      <c r="CQ41">
        <f t="shared" si="30"/>
        <v>2434.4946</v>
      </c>
      <c r="CR41">
        <f t="shared" si="31"/>
        <v>4.4748000000000001</v>
      </c>
      <c r="CS41">
        <f t="shared" si="32"/>
        <v>0.81359999999999999</v>
      </c>
      <c r="CT41">
        <f t="shared" si="33"/>
        <v>283.404</v>
      </c>
      <c r="CU41">
        <f t="shared" si="34"/>
        <v>0</v>
      </c>
      <c r="CV41">
        <f t="shared" si="35"/>
        <v>4.9000000000000004</v>
      </c>
      <c r="CW41">
        <f t="shared" si="36"/>
        <v>0.01</v>
      </c>
      <c r="CX41">
        <f t="shared" si="37"/>
        <v>0</v>
      </c>
      <c r="CY41">
        <f t="shared" si="38"/>
        <v>85.2</v>
      </c>
      <c r="CZ41">
        <f t="shared" si="39"/>
        <v>46.15</v>
      </c>
      <c r="DC41" t="s">
        <v>5</v>
      </c>
      <c r="DD41" t="s">
        <v>5</v>
      </c>
      <c r="DE41" t="s">
        <v>5</v>
      </c>
      <c r="DF41" t="s">
        <v>5</v>
      </c>
      <c r="DG41" t="s">
        <v>5</v>
      </c>
      <c r="DH41" t="s">
        <v>5</v>
      </c>
      <c r="DI41" t="s">
        <v>5</v>
      </c>
      <c r="DJ41" t="s">
        <v>5</v>
      </c>
      <c r="DK41" t="s">
        <v>5</v>
      </c>
      <c r="DL41" t="s">
        <v>5</v>
      </c>
      <c r="DM41" t="s">
        <v>5</v>
      </c>
      <c r="DN41">
        <v>0</v>
      </c>
      <c r="DO41">
        <v>0</v>
      </c>
      <c r="DP41">
        <v>1</v>
      </c>
      <c r="DQ41">
        <v>1</v>
      </c>
      <c r="DU41">
        <v>1005</v>
      </c>
      <c r="DV41" t="s">
        <v>15</v>
      </c>
      <c r="DW41" t="s">
        <v>15</v>
      </c>
      <c r="DX41">
        <v>100</v>
      </c>
      <c r="EE41">
        <v>32653360</v>
      </c>
      <c r="EF41">
        <v>1</v>
      </c>
      <c r="EG41" t="s">
        <v>17</v>
      </c>
      <c r="EH41">
        <v>0</v>
      </c>
      <c r="EI41" t="s">
        <v>5</v>
      </c>
      <c r="EJ41">
        <v>1</v>
      </c>
      <c r="EK41">
        <v>12001</v>
      </c>
      <c r="EL41" t="s">
        <v>60</v>
      </c>
      <c r="EM41" t="s">
        <v>61</v>
      </c>
      <c r="EO41" t="s">
        <v>5</v>
      </c>
      <c r="EQ41">
        <v>0</v>
      </c>
      <c r="ER41">
        <v>401.53</v>
      </c>
      <c r="ES41">
        <v>359.07</v>
      </c>
      <c r="ET41">
        <v>0.66</v>
      </c>
      <c r="EU41">
        <v>0.12</v>
      </c>
      <c r="EV41">
        <v>41.8</v>
      </c>
      <c r="EW41">
        <v>4.9000000000000004</v>
      </c>
      <c r="EX41">
        <v>0.01</v>
      </c>
      <c r="EY41">
        <v>0</v>
      </c>
      <c r="FQ41">
        <v>0</v>
      </c>
      <c r="FR41">
        <f t="shared" si="40"/>
        <v>0</v>
      </c>
      <c r="FS41">
        <v>0</v>
      </c>
      <c r="FX41">
        <v>120</v>
      </c>
      <c r="FY41">
        <v>65</v>
      </c>
      <c r="GA41" t="s">
        <v>5</v>
      </c>
      <c r="GD41">
        <v>0</v>
      </c>
      <c r="GF41">
        <v>-233808591</v>
      </c>
      <c r="GG41">
        <v>1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1"/>
        <v>0</v>
      </c>
      <c r="GM41">
        <f t="shared" si="42"/>
        <v>815</v>
      </c>
      <c r="GN41">
        <f t="shared" si="43"/>
        <v>815</v>
      </c>
      <c r="GO41">
        <f t="shared" si="44"/>
        <v>0</v>
      </c>
      <c r="GP41">
        <f t="shared" si="45"/>
        <v>0</v>
      </c>
      <c r="GR41">
        <v>0</v>
      </c>
      <c r="GS41">
        <v>3</v>
      </c>
      <c r="GT41">
        <v>0</v>
      </c>
      <c r="GU41" t="s">
        <v>5</v>
      </c>
      <c r="GV41">
        <f t="shared" si="46"/>
        <v>0</v>
      </c>
      <c r="GW41">
        <v>1</v>
      </c>
      <c r="GX41">
        <f t="shared" si="47"/>
        <v>0</v>
      </c>
      <c r="HA41">
        <v>0</v>
      </c>
      <c r="HB41">
        <v>0</v>
      </c>
      <c r="IF41">
        <v>-1</v>
      </c>
      <c r="IK41">
        <v>0</v>
      </c>
      <c r="IL41" t="s">
        <v>337</v>
      </c>
      <c r="IM41">
        <v>0.2515</v>
      </c>
    </row>
    <row r="42" spans="1:255" x14ac:dyDescent="0.2">
      <c r="A42" s="2">
        <v>17</v>
      </c>
      <c r="B42" s="2">
        <v>1</v>
      </c>
      <c r="C42" s="2">
        <f>ROW(SmtRes!A81)</f>
        <v>81</v>
      </c>
      <c r="D42" s="2">
        <f>ROW(EtalonRes!A95)</f>
        <v>95</v>
      </c>
      <c r="E42" s="2" t="s">
        <v>66</v>
      </c>
      <c r="F42" s="2" t="s">
        <v>67</v>
      </c>
      <c r="G42" s="2" t="s">
        <v>68</v>
      </c>
      <c r="H42" s="2" t="s">
        <v>52</v>
      </c>
      <c r="I42" s="2">
        <f>'1.Смета.или.Акт'!E89</f>
        <v>0.69</v>
      </c>
      <c r="J42" s="2">
        <v>0</v>
      </c>
      <c r="K42" s="2"/>
      <c r="L42" s="2"/>
      <c r="M42" s="2"/>
      <c r="N42" s="2"/>
      <c r="O42" s="2">
        <f t="shared" si="14"/>
        <v>469</v>
      </c>
      <c r="P42" s="2">
        <f t="shared" si="15"/>
        <v>83</v>
      </c>
      <c r="Q42" s="2">
        <f t="shared" si="16"/>
        <v>2</v>
      </c>
      <c r="R42" s="2">
        <f t="shared" si="17"/>
        <v>1</v>
      </c>
      <c r="S42" s="2">
        <f t="shared" si="18"/>
        <v>384</v>
      </c>
      <c r="T42" s="2">
        <f t="shared" si="19"/>
        <v>0</v>
      </c>
      <c r="U42" s="2">
        <f t="shared" si="20"/>
        <v>44.994899999999994</v>
      </c>
      <c r="V42" s="2">
        <f t="shared" si="21"/>
        <v>5.5199999999999999E-2</v>
      </c>
      <c r="W42" s="2">
        <f t="shared" si="22"/>
        <v>0</v>
      </c>
      <c r="X42" s="2">
        <f t="shared" si="23"/>
        <v>320</v>
      </c>
      <c r="Y42" s="2">
        <f t="shared" si="24"/>
        <v>250</v>
      </c>
      <c r="Z42" s="2"/>
      <c r="AA42" s="2">
        <v>34763685</v>
      </c>
      <c r="AB42" s="2">
        <f>'1.Смета.или.Акт'!F89</f>
        <v>679.55</v>
      </c>
      <c r="AC42" s="2">
        <f t="shared" si="25"/>
        <v>119.78</v>
      </c>
      <c r="AD42" s="2">
        <f>'1.Смета.или.Акт'!H89</f>
        <v>3.53</v>
      </c>
      <c r="AE42" s="2">
        <f>'1.Смета.или.Акт'!I89</f>
        <v>1.03</v>
      </c>
      <c r="AF42" s="2">
        <f>'1.Смета.или.Акт'!G89</f>
        <v>556.24</v>
      </c>
      <c r="AG42" s="2">
        <f t="shared" si="26"/>
        <v>0</v>
      </c>
      <c r="AH42" s="2">
        <f t="shared" si="27"/>
        <v>65.209999999999994</v>
      </c>
      <c r="AI42" s="2">
        <f t="shared" si="28"/>
        <v>0.08</v>
      </c>
      <c r="AJ42" s="2">
        <f t="shared" si="29"/>
        <v>0</v>
      </c>
      <c r="AK42" s="2">
        <v>679.55</v>
      </c>
      <c r="AL42" s="2">
        <v>119.78</v>
      </c>
      <c r="AM42" s="2">
        <v>3.53</v>
      </c>
      <c r="AN42" s="2">
        <v>1.03</v>
      </c>
      <c r="AO42" s="2">
        <v>556.24</v>
      </c>
      <c r="AP42" s="2">
        <v>0</v>
      </c>
      <c r="AQ42" s="2">
        <v>65.209999999999994</v>
      </c>
      <c r="AR42" s="2">
        <v>0.08</v>
      </c>
      <c r="AS42" s="2">
        <v>0</v>
      </c>
      <c r="AT42" s="2">
        <f>'1.Смета.или.Акт'!E90</f>
        <v>83</v>
      </c>
      <c r="AU42" s="2">
        <f>'1.Смета.или.Акт'!E91</f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5</v>
      </c>
      <c r="BE42" s="2" t="s">
        <v>5</v>
      </c>
      <c r="BF42" s="2" t="s">
        <v>5</v>
      </c>
      <c r="BG42" s="2" t="s">
        <v>5</v>
      </c>
      <c r="BH42" s="2">
        <v>0</v>
      </c>
      <c r="BI42" s="2">
        <v>1</v>
      </c>
      <c r="BJ42" s="2" t="s">
        <v>69</v>
      </c>
      <c r="BK42" s="2"/>
      <c r="BL42" s="2"/>
      <c r="BM42" s="2">
        <v>58001</v>
      </c>
      <c r="BN42" s="2">
        <v>0</v>
      </c>
      <c r="BO42" s="2" t="s">
        <v>5</v>
      </c>
      <c r="BP42" s="2">
        <v>0</v>
      </c>
      <c r="BQ42" s="2">
        <v>6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5</v>
      </c>
      <c r="BZ42" s="2">
        <v>83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5</v>
      </c>
      <c r="CO42" s="2">
        <v>0</v>
      </c>
      <c r="CP42" s="2">
        <f>IF('1.Смета.или.Акт'!F89=AC42+AD42+AF42,P42+Q42+S42,I42*AB42)</f>
        <v>469</v>
      </c>
      <c r="CQ42" s="2">
        <f t="shared" si="30"/>
        <v>119.78</v>
      </c>
      <c r="CR42" s="2">
        <f t="shared" si="31"/>
        <v>3.53</v>
      </c>
      <c r="CS42" s="2">
        <f t="shared" si="32"/>
        <v>1.03</v>
      </c>
      <c r="CT42" s="2">
        <f t="shared" si="33"/>
        <v>556.24</v>
      </c>
      <c r="CU42" s="2">
        <f t="shared" si="34"/>
        <v>0</v>
      </c>
      <c r="CV42" s="2">
        <f t="shared" si="35"/>
        <v>65.209999999999994</v>
      </c>
      <c r="CW42" s="2">
        <f t="shared" si="36"/>
        <v>0.08</v>
      </c>
      <c r="CX42" s="2">
        <f t="shared" si="37"/>
        <v>0</v>
      </c>
      <c r="CY42" s="2">
        <f t="shared" si="38"/>
        <v>319.55</v>
      </c>
      <c r="CZ42" s="2">
        <f t="shared" si="39"/>
        <v>250.25</v>
      </c>
      <c r="DA42" s="2"/>
      <c r="DB42" s="2"/>
      <c r="DC42" s="2" t="s">
        <v>5</v>
      </c>
      <c r="DD42" s="2" t="s">
        <v>5</v>
      </c>
      <c r="DE42" s="2" t="s">
        <v>5</v>
      </c>
      <c r="DF42" s="2" t="s">
        <v>5</v>
      </c>
      <c r="DG42" s="2" t="s">
        <v>5</v>
      </c>
      <c r="DH42" s="2" t="s">
        <v>5</v>
      </c>
      <c r="DI42" s="2" t="s">
        <v>5</v>
      </c>
      <c r="DJ42" s="2" t="s">
        <v>5</v>
      </c>
      <c r="DK42" s="2" t="s">
        <v>5</v>
      </c>
      <c r="DL42" s="2" t="s">
        <v>5</v>
      </c>
      <c r="DM42" s="2" t="s">
        <v>5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52</v>
      </c>
      <c r="DW42" s="2" t="str">
        <f>'1.Смета.или.Акт'!D89</f>
        <v>100 м</v>
      </c>
      <c r="DX42" s="2">
        <v>100</v>
      </c>
      <c r="DY42" s="2"/>
      <c r="DZ42" s="2"/>
      <c r="EA42" s="2"/>
      <c r="EB42" s="2"/>
      <c r="EC42" s="2"/>
      <c r="ED42" s="2"/>
      <c r="EE42" s="2">
        <v>32653438</v>
      </c>
      <c r="EF42" s="2">
        <v>6</v>
      </c>
      <c r="EG42" s="2" t="s">
        <v>24</v>
      </c>
      <c r="EH42" s="2">
        <v>0</v>
      </c>
      <c r="EI42" s="2" t="s">
        <v>5</v>
      </c>
      <c r="EJ42" s="2">
        <v>1</v>
      </c>
      <c r="EK42" s="2">
        <v>58001</v>
      </c>
      <c r="EL42" s="2" t="s">
        <v>54</v>
      </c>
      <c r="EM42" s="2" t="s">
        <v>55</v>
      </c>
      <c r="EN42" s="2"/>
      <c r="EO42" s="2" t="s">
        <v>5</v>
      </c>
      <c r="EP42" s="2"/>
      <c r="EQ42" s="2">
        <v>0</v>
      </c>
      <c r="ER42" s="2">
        <v>679.55</v>
      </c>
      <c r="ES42" s="2">
        <v>119.78</v>
      </c>
      <c r="ET42" s="2">
        <v>3.53</v>
      </c>
      <c r="EU42" s="2">
        <v>1.03</v>
      </c>
      <c r="EV42" s="2">
        <v>556.24</v>
      </c>
      <c r="EW42" s="2">
        <v>65.209999999999994</v>
      </c>
      <c r="EX42" s="2">
        <v>0.08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0"/>
        <v>0</v>
      </c>
      <c r="FS42" s="2">
        <v>0</v>
      </c>
      <c r="FT42" s="2"/>
      <c r="FU42" s="2"/>
      <c r="FV42" s="2"/>
      <c r="FW42" s="2"/>
      <c r="FX42" s="2">
        <v>83</v>
      </c>
      <c r="FY42" s="2">
        <v>65</v>
      </c>
      <c r="FZ42" s="2"/>
      <c r="GA42" s="2" t="s">
        <v>5</v>
      </c>
      <c r="GB42" s="2"/>
      <c r="GC42" s="2"/>
      <c r="GD42" s="2">
        <v>0</v>
      </c>
      <c r="GE42" s="2"/>
      <c r="GF42" s="2">
        <v>-781530427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1"/>
        <v>0</v>
      </c>
      <c r="GM42" s="2">
        <f t="shared" si="42"/>
        <v>1039</v>
      </c>
      <c r="GN42" s="2">
        <f t="shared" si="43"/>
        <v>1039</v>
      </c>
      <c r="GO42" s="2">
        <f t="shared" si="44"/>
        <v>0</v>
      </c>
      <c r="GP42" s="2">
        <f t="shared" si="45"/>
        <v>0</v>
      </c>
      <c r="GQ42" s="2"/>
      <c r="GR42" s="2">
        <v>0</v>
      </c>
      <c r="GS42" s="2">
        <v>3</v>
      </c>
      <c r="GT42" s="2">
        <v>0</v>
      </c>
      <c r="GU42" s="2" t="s">
        <v>5</v>
      </c>
      <c r="GV42" s="2">
        <f t="shared" si="46"/>
        <v>0</v>
      </c>
      <c r="GW42" s="2">
        <v>1</v>
      </c>
      <c r="GX42" s="2">
        <f t="shared" si="47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 t="s">
        <v>338</v>
      </c>
      <c r="IM42" s="2">
        <v>0.69</v>
      </c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ROW(SmtRes!A86)</f>
        <v>86</v>
      </c>
      <c r="D43">
        <f>ROW(EtalonRes!A102)</f>
        <v>102</v>
      </c>
      <c r="E43" t="s">
        <v>66</v>
      </c>
      <c r="F43" t="s">
        <v>67</v>
      </c>
      <c r="G43" t="s">
        <v>68</v>
      </c>
      <c r="H43" t="s">
        <v>52</v>
      </c>
      <c r="I43">
        <f>'1.Смета.или.Акт'!E89</f>
        <v>0.69</v>
      </c>
      <c r="J43">
        <v>0</v>
      </c>
      <c r="O43">
        <f t="shared" si="14"/>
        <v>3179</v>
      </c>
      <c r="P43">
        <f t="shared" si="15"/>
        <v>560</v>
      </c>
      <c r="Q43">
        <f t="shared" si="16"/>
        <v>17</v>
      </c>
      <c r="R43">
        <f t="shared" si="17"/>
        <v>5</v>
      </c>
      <c r="S43">
        <f t="shared" si="18"/>
        <v>2602</v>
      </c>
      <c r="T43">
        <f t="shared" si="19"/>
        <v>0</v>
      </c>
      <c r="U43">
        <f t="shared" si="20"/>
        <v>44.994899999999994</v>
      </c>
      <c r="V43">
        <f t="shared" si="21"/>
        <v>5.5199999999999999E-2</v>
      </c>
      <c r="W43">
        <f t="shared" si="22"/>
        <v>0</v>
      </c>
      <c r="X43">
        <f t="shared" si="23"/>
        <v>2164</v>
      </c>
      <c r="Y43">
        <f t="shared" si="24"/>
        <v>1695</v>
      </c>
      <c r="AA43">
        <v>34763707</v>
      </c>
      <c r="AB43">
        <f t="shared" si="48"/>
        <v>679.55</v>
      </c>
      <c r="AC43">
        <f t="shared" si="25"/>
        <v>119.78</v>
      </c>
      <c r="AD43">
        <f t="shared" si="49"/>
        <v>3.53</v>
      </c>
      <c r="AE43">
        <f t="shared" si="50"/>
        <v>1.03</v>
      </c>
      <c r="AF43">
        <f t="shared" si="51"/>
        <v>556.24</v>
      </c>
      <c r="AG43">
        <f t="shared" si="26"/>
        <v>0</v>
      </c>
      <c r="AH43">
        <f t="shared" si="27"/>
        <v>65.209999999999994</v>
      </c>
      <c r="AI43">
        <f t="shared" si="28"/>
        <v>0.08</v>
      </c>
      <c r="AJ43">
        <f t="shared" si="29"/>
        <v>0</v>
      </c>
      <c r="AK43">
        <v>679.55</v>
      </c>
      <c r="AL43">
        <v>119.78</v>
      </c>
      <c r="AM43">
        <v>3.53</v>
      </c>
      <c r="AN43">
        <v>1.03</v>
      </c>
      <c r="AO43">
        <v>556.24</v>
      </c>
      <c r="AP43">
        <v>0</v>
      </c>
      <c r="AQ43">
        <v>65.209999999999994</v>
      </c>
      <c r="AR43">
        <v>0.08</v>
      </c>
      <c r="AS43">
        <v>0</v>
      </c>
      <c r="AT43">
        <v>83</v>
      </c>
      <c r="AU43">
        <v>65</v>
      </c>
      <c r="AV43">
        <v>1</v>
      </c>
      <c r="AW43">
        <v>1</v>
      </c>
      <c r="AZ43">
        <v>6.78</v>
      </c>
      <c r="BA43">
        <v>6.78</v>
      </c>
      <c r="BB43">
        <v>6.78</v>
      </c>
      <c r="BC43">
        <v>6.78</v>
      </c>
      <c r="BD43" t="s">
        <v>5</v>
      </c>
      <c r="BE43" t="s">
        <v>5</v>
      </c>
      <c r="BF43" t="s">
        <v>5</v>
      </c>
      <c r="BG43" t="s">
        <v>5</v>
      </c>
      <c r="BH43">
        <v>0</v>
      </c>
      <c r="BI43">
        <v>1</v>
      </c>
      <c r="BJ43" t="s">
        <v>69</v>
      </c>
      <c r="BM43">
        <v>58001</v>
      </c>
      <c r="BN43">
        <v>0</v>
      </c>
      <c r="BO43" t="s">
        <v>5</v>
      </c>
      <c r="BP43">
        <v>0</v>
      </c>
      <c r="BQ43">
        <v>6</v>
      </c>
      <c r="BR43">
        <v>0</v>
      </c>
      <c r="BS43">
        <v>6.78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5</v>
      </c>
      <c r="BZ43">
        <v>83</v>
      </c>
      <c r="CA43">
        <v>65</v>
      </c>
      <c r="CF43">
        <v>0</v>
      </c>
      <c r="CG43">
        <v>0</v>
      </c>
      <c r="CM43">
        <v>0</v>
      </c>
      <c r="CN43" t="s">
        <v>5</v>
      </c>
      <c r="CO43">
        <v>0</v>
      </c>
      <c r="CP43">
        <f t="shared" si="52"/>
        <v>3179</v>
      </c>
      <c r="CQ43">
        <f t="shared" si="30"/>
        <v>812.10840000000007</v>
      </c>
      <c r="CR43">
        <f t="shared" si="31"/>
        <v>23.933399999999999</v>
      </c>
      <c r="CS43">
        <f t="shared" si="32"/>
        <v>6.9834000000000005</v>
      </c>
      <c r="CT43">
        <f t="shared" si="33"/>
        <v>3771.3072000000002</v>
      </c>
      <c r="CU43">
        <f t="shared" si="34"/>
        <v>0</v>
      </c>
      <c r="CV43">
        <f t="shared" si="35"/>
        <v>65.209999999999994</v>
      </c>
      <c r="CW43">
        <f t="shared" si="36"/>
        <v>0.08</v>
      </c>
      <c r="CX43">
        <f t="shared" si="37"/>
        <v>0</v>
      </c>
      <c r="CY43">
        <f t="shared" si="38"/>
        <v>2163.81</v>
      </c>
      <c r="CZ43">
        <f t="shared" si="39"/>
        <v>1694.55</v>
      </c>
      <c r="DC43" t="s">
        <v>5</v>
      </c>
      <c r="DD43" t="s">
        <v>5</v>
      </c>
      <c r="DE43" t="s">
        <v>5</v>
      </c>
      <c r="DF43" t="s">
        <v>5</v>
      </c>
      <c r="DG43" t="s">
        <v>5</v>
      </c>
      <c r="DH43" t="s">
        <v>5</v>
      </c>
      <c r="DI43" t="s">
        <v>5</v>
      </c>
      <c r="DJ43" t="s">
        <v>5</v>
      </c>
      <c r="DK43" t="s">
        <v>5</v>
      </c>
      <c r="DL43" t="s">
        <v>5</v>
      </c>
      <c r="DM43" t="s">
        <v>5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52</v>
      </c>
      <c r="DW43" t="s">
        <v>52</v>
      </c>
      <c r="DX43">
        <v>100</v>
      </c>
      <c r="EE43">
        <v>32653438</v>
      </c>
      <c r="EF43">
        <v>6</v>
      </c>
      <c r="EG43" t="s">
        <v>24</v>
      </c>
      <c r="EH43">
        <v>0</v>
      </c>
      <c r="EI43" t="s">
        <v>5</v>
      </c>
      <c r="EJ43">
        <v>1</v>
      </c>
      <c r="EK43">
        <v>58001</v>
      </c>
      <c r="EL43" t="s">
        <v>54</v>
      </c>
      <c r="EM43" t="s">
        <v>55</v>
      </c>
      <c r="EO43" t="s">
        <v>5</v>
      </c>
      <c r="EQ43">
        <v>0</v>
      </c>
      <c r="ER43">
        <v>679.55</v>
      </c>
      <c r="ES43">
        <v>119.78</v>
      </c>
      <c r="ET43">
        <v>3.53</v>
      </c>
      <c r="EU43">
        <v>1.03</v>
      </c>
      <c r="EV43">
        <v>556.24</v>
      </c>
      <c r="EW43">
        <v>65.209999999999994</v>
      </c>
      <c r="EX43">
        <v>0.08</v>
      </c>
      <c r="EY43">
        <v>0</v>
      </c>
      <c r="FQ43">
        <v>0</v>
      </c>
      <c r="FR43">
        <f t="shared" si="40"/>
        <v>0</v>
      </c>
      <c r="FS43">
        <v>0</v>
      </c>
      <c r="FX43">
        <v>83</v>
      </c>
      <c r="FY43">
        <v>65</v>
      </c>
      <c r="GA43" t="s">
        <v>5</v>
      </c>
      <c r="GD43">
        <v>0</v>
      </c>
      <c r="GF43">
        <v>-781530427</v>
      </c>
      <c r="GG43">
        <v>1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1"/>
        <v>0</v>
      </c>
      <c r="GM43">
        <f t="shared" si="42"/>
        <v>7038</v>
      </c>
      <c r="GN43">
        <f t="shared" si="43"/>
        <v>7038</v>
      </c>
      <c r="GO43">
        <f t="shared" si="44"/>
        <v>0</v>
      </c>
      <c r="GP43">
        <f t="shared" si="45"/>
        <v>0</v>
      </c>
      <c r="GR43">
        <v>0</v>
      </c>
      <c r="GS43">
        <v>3</v>
      </c>
      <c r="GT43">
        <v>0</v>
      </c>
      <c r="GU43" t="s">
        <v>5</v>
      </c>
      <c r="GV43">
        <f t="shared" si="46"/>
        <v>0</v>
      </c>
      <c r="GW43">
        <v>1</v>
      </c>
      <c r="GX43">
        <f t="shared" si="47"/>
        <v>0</v>
      </c>
      <c r="HA43">
        <v>0</v>
      </c>
      <c r="HB43">
        <v>0</v>
      </c>
      <c r="IF43">
        <v>-1</v>
      </c>
      <c r="IK43">
        <v>0</v>
      </c>
      <c r="IL43" t="s">
        <v>338</v>
      </c>
      <c r="IM43">
        <v>0.69</v>
      </c>
    </row>
    <row r="44" spans="1:255" x14ac:dyDescent="0.2">
      <c r="A44" s="2">
        <v>17</v>
      </c>
      <c r="B44" s="2">
        <v>1</v>
      </c>
      <c r="C44" s="2">
        <f>ROW(SmtRes!A88)</f>
        <v>88</v>
      </c>
      <c r="D44" s="2">
        <f>ROW(EtalonRes!A105)</f>
        <v>105</v>
      </c>
      <c r="E44" s="2" t="s">
        <v>70</v>
      </c>
      <c r="F44" s="2" t="s">
        <v>71</v>
      </c>
      <c r="G44" s="2" t="s">
        <v>72</v>
      </c>
      <c r="H44" s="2" t="s">
        <v>73</v>
      </c>
      <c r="I44" s="2">
        <f>'1.Смета.или.Акт'!E94</f>
        <v>5.65</v>
      </c>
      <c r="J44" s="2">
        <v>0</v>
      </c>
      <c r="K44" s="2"/>
      <c r="L44" s="2"/>
      <c r="M44" s="2"/>
      <c r="N44" s="2"/>
      <c r="O44" s="2">
        <f t="shared" si="14"/>
        <v>137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137</v>
      </c>
      <c r="T44" s="2">
        <f t="shared" si="19"/>
        <v>0</v>
      </c>
      <c r="U44" s="2">
        <f t="shared" si="20"/>
        <v>15.311500000000001</v>
      </c>
      <c r="V44" s="2">
        <f t="shared" si="21"/>
        <v>0</v>
      </c>
      <c r="W44" s="2">
        <f t="shared" si="22"/>
        <v>0</v>
      </c>
      <c r="X44" s="2">
        <f t="shared" si="23"/>
        <v>118</v>
      </c>
      <c r="Y44" s="2">
        <f t="shared" si="24"/>
        <v>96</v>
      </c>
      <c r="Z44" s="2"/>
      <c r="AA44" s="2">
        <v>34763685</v>
      </c>
      <c r="AB44" s="2">
        <f>'1.Смета.или.Акт'!F94</f>
        <v>24.33</v>
      </c>
      <c r="AC44" s="2">
        <f t="shared" si="25"/>
        <v>0.02</v>
      </c>
      <c r="AD44" s="2">
        <f>'1.Смета.или.Акт'!H94</f>
        <v>0</v>
      </c>
      <c r="AE44" s="2">
        <f>'1.Смета.или.Акт'!I94</f>
        <v>0</v>
      </c>
      <c r="AF44" s="2">
        <f>'1.Смета.или.Акт'!G94</f>
        <v>24.31</v>
      </c>
      <c r="AG44" s="2">
        <f t="shared" si="26"/>
        <v>0</v>
      </c>
      <c r="AH44" s="2">
        <f t="shared" si="27"/>
        <v>2.71</v>
      </c>
      <c r="AI44" s="2">
        <f t="shared" si="28"/>
        <v>0</v>
      </c>
      <c r="AJ44" s="2">
        <f t="shared" si="29"/>
        <v>0</v>
      </c>
      <c r="AK44" s="2">
        <v>24.33</v>
      </c>
      <c r="AL44" s="2">
        <v>0.02</v>
      </c>
      <c r="AM44" s="2">
        <v>0</v>
      </c>
      <c r="AN44" s="2">
        <v>0</v>
      </c>
      <c r="AO44" s="2">
        <v>24.31</v>
      </c>
      <c r="AP44" s="2">
        <v>0</v>
      </c>
      <c r="AQ44" s="2">
        <v>2.71</v>
      </c>
      <c r="AR44" s="2">
        <v>0</v>
      </c>
      <c r="AS44" s="2">
        <v>0</v>
      </c>
      <c r="AT44" s="2">
        <f>'1.Смета.или.Акт'!E95</f>
        <v>86</v>
      </c>
      <c r="AU44" s="2">
        <f>'1.Смета.или.Акт'!E96</f>
        <v>70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5</v>
      </c>
      <c r="BE44" s="2" t="s">
        <v>5</v>
      </c>
      <c r="BF44" s="2" t="s">
        <v>5</v>
      </c>
      <c r="BG44" s="2" t="s">
        <v>5</v>
      </c>
      <c r="BH44" s="2">
        <v>0</v>
      </c>
      <c r="BI44" s="2">
        <v>1</v>
      </c>
      <c r="BJ44" s="2" t="s">
        <v>74</v>
      </c>
      <c r="BK44" s="2"/>
      <c r="BL44" s="2"/>
      <c r="BM44" s="2">
        <v>53001</v>
      </c>
      <c r="BN44" s="2">
        <v>0</v>
      </c>
      <c r="BO44" s="2" t="s">
        <v>5</v>
      </c>
      <c r="BP44" s="2">
        <v>0</v>
      </c>
      <c r="BQ44" s="2">
        <v>6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5</v>
      </c>
      <c r="BZ44" s="2">
        <v>86</v>
      </c>
      <c r="CA44" s="2">
        <v>70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5</v>
      </c>
      <c r="CO44" s="2">
        <v>0</v>
      </c>
      <c r="CP44" s="2">
        <f>IF('1.Смета.или.Акт'!F94=AC44+AD44+AF44,P44+Q44+S44,I44*AB44)</f>
        <v>137</v>
      </c>
      <c r="CQ44" s="2">
        <f t="shared" si="30"/>
        <v>0.02</v>
      </c>
      <c r="CR44" s="2">
        <f t="shared" si="31"/>
        <v>0</v>
      </c>
      <c r="CS44" s="2">
        <f t="shared" si="32"/>
        <v>0</v>
      </c>
      <c r="CT44" s="2">
        <f t="shared" si="33"/>
        <v>24.31</v>
      </c>
      <c r="CU44" s="2">
        <f t="shared" si="34"/>
        <v>0</v>
      </c>
      <c r="CV44" s="2">
        <f t="shared" si="35"/>
        <v>2.71</v>
      </c>
      <c r="CW44" s="2">
        <f t="shared" si="36"/>
        <v>0</v>
      </c>
      <c r="CX44" s="2">
        <f t="shared" si="37"/>
        <v>0</v>
      </c>
      <c r="CY44" s="2">
        <f t="shared" si="38"/>
        <v>117.82</v>
      </c>
      <c r="CZ44" s="2">
        <f t="shared" si="39"/>
        <v>95.9</v>
      </c>
      <c r="DA44" s="2"/>
      <c r="DB44" s="2"/>
      <c r="DC44" s="2" t="s">
        <v>5</v>
      </c>
      <c r="DD44" s="2" t="s">
        <v>5</v>
      </c>
      <c r="DE44" s="2" t="s">
        <v>5</v>
      </c>
      <c r="DF44" s="2" t="s">
        <v>5</v>
      </c>
      <c r="DG44" s="2" t="s">
        <v>5</v>
      </c>
      <c r="DH44" s="2" t="s">
        <v>5</v>
      </c>
      <c r="DI44" s="2" t="s">
        <v>5</v>
      </c>
      <c r="DJ44" s="2" t="s">
        <v>5</v>
      </c>
      <c r="DK44" s="2" t="s">
        <v>5</v>
      </c>
      <c r="DL44" s="2" t="s">
        <v>5</v>
      </c>
      <c r="DM44" s="2" t="s">
        <v>5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73</v>
      </c>
      <c r="DW44" s="2" t="str">
        <f>'1.Смета.или.Акт'!D94</f>
        <v>10 м</v>
      </c>
      <c r="DX44" s="2">
        <v>10</v>
      </c>
      <c r="DY44" s="2"/>
      <c r="DZ44" s="2"/>
      <c r="EA44" s="2"/>
      <c r="EB44" s="2"/>
      <c r="EC44" s="2"/>
      <c r="ED44" s="2"/>
      <c r="EE44" s="2">
        <v>32653433</v>
      </c>
      <c r="EF44" s="2">
        <v>6</v>
      </c>
      <c r="EG44" s="2" t="s">
        <v>24</v>
      </c>
      <c r="EH44" s="2">
        <v>0</v>
      </c>
      <c r="EI44" s="2" t="s">
        <v>5</v>
      </c>
      <c r="EJ44" s="2">
        <v>1</v>
      </c>
      <c r="EK44" s="2">
        <v>53001</v>
      </c>
      <c r="EL44" s="2" t="s">
        <v>75</v>
      </c>
      <c r="EM44" s="2" t="s">
        <v>76</v>
      </c>
      <c r="EN44" s="2"/>
      <c r="EO44" s="2" t="s">
        <v>5</v>
      </c>
      <c r="EP44" s="2"/>
      <c r="EQ44" s="2">
        <v>0</v>
      </c>
      <c r="ER44" s="2">
        <v>24.33</v>
      </c>
      <c r="ES44" s="2">
        <v>0.02</v>
      </c>
      <c r="ET44" s="2">
        <v>0</v>
      </c>
      <c r="EU44" s="2">
        <v>0</v>
      </c>
      <c r="EV44" s="2">
        <v>24.31</v>
      </c>
      <c r="EW44" s="2">
        <v>2.71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0"/>
        <v>0</v>
      </c>
      <c r="FS44" s="2">
        <v>0</v>
      </c>
      <c r="FT44" s="2"/>
      <c r="FU44" s="2"/>
      <c r="FV44" s="2"/>
      <c r="FW44" s="2"/>
      <c r="FX44" s="2">
        <v>86</v>
      </c>
      <c r="FY44" s="2">
        <v>70</v>
      </c>
      <c r="FZ44" s="2"/>
      <c r="GA44" s="2" t="s">
        <v>5</v>
      </c>
      <c r="GB44" s="2"/>
      <c r="GC44" s="2"/>
      <c r="GD44" s="2">
        <v>0</v>
      </c>
      <c r="GE44" s="2"/>
      <c r="GF44" s="2">
        <v>842726972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1"/>
        <v>0</v>
      </c>
      <c r="GM44" s="2">
        <f t="shared" si="42"/>
        <v>351</v>
      </c>
      <c r="GN44" s="2">
        <f t="shared" si="43"/>
        <v>351</v>
      </c>
      <c r="GO44" s="2">
        <f t="shared" si="44"/>
        <v>0</v>
      </c>
      <c r="GP44" s="2">
        <f t="shared" si="45"/>
        <v>0</v>
      </c>
      <c r="GQ44" s="2"/>
      <c r="GR44" s="2">
        <v>0</v>
      </c>
      <c r="GS44" s="2">
        <v>3</v>
      </c>
      <c r="GT44" s="2">
        <v>0</v>
      </c>
      <c r="GU44" s="2" t="s">
        <v>5</v>
      </c>
      <c r="GV44" s="2">
        <f t="shared" si="46"/>
        <v>0</v>
      </c>
      <c r="GW44" s="2">
        <v>1</v>
      </c>
      <c r="GX44" s="2">
        <f t="shared" si="47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 t="s">
        <v>339</v>
      </c>
      <c r="IM44" s="2">
        <v>5.65</v>
      </c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ROW(SmtRes!A90)</f>
        <v>90</v>
      </c>
      <c r="D45">
        <f>ROW(EtalonRes!A108)</f>
        <v>108</v>
      </c>
      <c r="E45" t="s">
        <v>70</v>
      </c>
      <c r="F45" t="s">
        <v>71</v>
      </c>
      <c r="G45" t="s">
        <v>72</v>
      </c>
      <c r="H45" t="s">
        <v>73</v>
      </c>
      <c r="I45">
        <f>'1.Смета.или.Акт'!E94</f>
        <v>5.65</v>
      </c>
      <c r="J45">
        <v>0</v>
      </c>
      <c r="O45">
        <f t="shared" si="14"/>
        <v>932</v>
      </c>
      <c r="P45">
        <f t="shared" si="15"/>
        <v>1</v>
      </c>
      <c r="Q45">
        <f t="shared" si="16"/>
        <v>0</v>
      </c>
      <c r="R45">
        <f t="shared" si="17"/>
        <v>0</v>
      </c>
      <c r="S45">
        <f t="shared" si="18"/>
        <v>931</v>
      </c>
      <c r="T45">
        <f t="shared" si="19"/>
        <v>0</v>
      </c>
      <c r="U45">
        <f t="shared" si="20"/>
        <v>15.311500000000001</v>
      </c>
      <c r="V45">
        <f t="shared" si="21"/>
        <v>0</v>
      </c>
      <c r="W45">
        <f t="shared" si="22"/>
        <v>0</v>
      </c>
      <c r="X45">
        <f t="shared" si="23"/>
        <v>801</v>
      </c>
      <c r="Y45">
        <f t="shared" si="24"/>
        <v>652</v>
      </c>
      <c r="AA45">
        <v>34763707</v>
      </c>
      <c r="AB45">
        <f t="shared" si="48"/>
        <v>24.33</v>
      </c>
      <c r="AC45">
        <f t="shared" si="25"/>
        <v>0.02</v>
      </c>
      <c r="AD45">
        <f t="shared" si="49"/>
        <v>0</v>
      </c>
      <c r="AE45">
        <f t="shared" si="50"/>
        <v>0</v>
      </c>
      <c r="AF45">
        <f t="shared" si="51"/>
        <v>24.31</v>
      </c>
      <c r="AG45">
        <f t="shared" si="26"/>
        <v>0</v>
      </c>
      <c r="AH45">
        <f t="shared" si="27"/>
        <v>2.71</v>
      </c>
      <c r="AI45">
        <f t="shared" si="28"/>
        <v>0</v>
      </c>
      <c r="AJ45">
        <f t="shared" si="29"/>
        <v>0</v>
      </c>
      <c r="AK45">
        <v>24.33</v>
      </c>
      <c r="AL45">
        <v>0.02</v>
      </c>
      <c r="AM45">
        <v>0</v>
      </c>
      <c r="AN45">
        <v>0</v>
      </c>
      <c r="AO45">
        <v>24.31</v>
      </c>
      <c r="AP45">
        <v>0</v>
      </c>
      <c r="AQ45">
        <v>2.71</v>
      </c>
      <c r="AR45">
        <v>0</v>
      </c>
      <c r="AS45">
        <v>0</v>
      </c>
      <c r="AT45">
        <v>86</v>
      </c>
      <c r="AU45">
        <v>70</v>
      </c>
      <c r="AV45">
        <v>1</v>
      </c>
      <c r="AW45">
        <v>1</v>
      </c>
      <c r="AZ45">
        <v>6.78</v>
      </c>
      <c r="BA45">
        <v>6.78</v>
      </c>
      <c r="BB45">
        <v>6.78</v>
      </c>
      <c r="BC45">
        <v>6.78</v>
      </c>
      <c r="BD45" t="s">
        <v>5</v>
      </c>
      <c r="BE45" t="s">
        <v>5</v>
      </c>
      <c r="BF45" t="s">
        <v>5</v>
      </c>
      <c r="BG45" t="s">
        <v>5</v>
      </c>
      <c r="BH45">
        <v>0</v>
      </c>
      <c r="BI45">
        <v>1</v>
      </c>
      <c r="BJ45" t="s">
        <v>74</v>
      </c>
      <c r="BM45">
        <v>53001</v>
      </c>
      <c r="BN45">
        <v>0</v>
      </c>
      <c r="BO45" t="s">
        <v>5</v>
      </c>
      <c r="BP45">
        <v>0</v>
      </c>
      <c r="BQ45">
        <v>6</v>
      </c>
      <c r="BR45">
        <v>0</v>
      </c>
      <c r="BS45">
        <v>6.78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5</v>
      </c>
      <c r="BZ45">
        <v>86</v>
      </c>
      <c r="CA45">
        <v>70</v>
      </c>
      <c r="CF45">
        <v>0</v>
      </c>
      <c r="CG45">
        <v>0</v>
      </c>
      <c r="CM45">
        <v>0</v>
      </c>
      <c r="CN45" t="s">
        <v>5</v>
      </c>
      <c r="CO45">
        <v>0</v>
      </c>
      <c r="CP45">
        <f t="shared" si="52"/>
        <v>932</v>
      </c>
      <c r="CQ45">
        <f t="shared" si="30"/>
        <v>0.1356</v>
      </c>
      <c r="CR45">
        <f t="shared" si="31"/>
        <v>0</v>
      </c>
      <c r="CS45">
        <f t="shared" si="32"/>
        <v>0</v>
      </c>
      <c r="CT45">
        <f t="shared" si="33"/>
        <v>164.8218</v>
      </c>
      <c r="CU45">
        <f t="shared" si="34"/>
        <v>0</v>
      </c>
      <c r="CV45">
        <f t="shared" si="35"/>
        <v>2.71</v>
      </c>
      <c r="CW45">
        <f t="shared" si="36"/>
        <v>0</v>
      </c>
      <c r="CX45">
        <f t="shared" si="37"/>
        <v>0</v>
      </c>
      <c r="CY45">
        <f t="shared" si="38"/>
        <v>800.66</v>
      </c>
      <c r="CZ45">
        <f t="shared" si="39"/>
        <v>651.70000000000005</v>
      </c>
      <c r="DC45" t="s">
        <v>5</v>
      </c>
      <c r="DD45" t="s">
        <v>5</v>
      </c>
      <c r="DE45" t="s">
        <v>5</v>
      </c>
      <c r="DF45" t="s">
        <v>5</v>
      </c>
      <c r="DG45" t="s">
        <v>5</v>
      </c>
      <c r="DH45" t="s">
        <v>5</v>
      </c>
      <c r="DI45" t="s">
        <v>5</v>
      </c>
      <c r="DJ45" t="s">
        <v>5</v>
      </c>
      <c r="DK45" t="s">
        <v>5</v>
      </c>
      <c r="DL45" t="s">
        <v>5</v>
      </c>
      <c r="DM45" t="s">
        <v>5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73</v>
      </c>
      <c r="DW45" t="s">
        <v>73</v>
      </c>
      <c r="DX45">
        <v>10</v>
      </c>
      <c r="EE45">
        <v>32653433</v>
      </c>
      <c r="EF45">
        <v>6</v>
      </c>
      <c r="EG45" t="s">
        <v>24</v>
      </c>
      <c r="EH45">
        <v>0</v>
      </c>
      <c r="EI45" t="s">
        <v>5</v>
      </c>
      <c r="EJ45">
        <v>1</v>
      </c>
      <c r="EK45">
        <v>53001</v>
      </c>
      <c r="EL45" t="s">
        <v>75</v>
      </c>
      <c r="EM45" t="s">
        <v>76</v>
      </c>
      <c r="EO45" t="s">
        <v>5</v>
      </c>
      <c r="EQ45">
        <v>0</v>
      </c>
      <c r="ER45">
        <v>24.33</v>
      </c>
      <c r="ES45">
        <v>0.02</v>
      </c>
      <c r="ET45">
        <v>0</v>
      </c>
      <c r="EU45">
        <v>0</v>
      </c>
      <c r="EV45">
        <v>24.31</v>
      </c>
      <c r="EW45">
        <v>2.71</v>
      </c>
      <c r="EX45">
        <v>0</v>
      </c>
      <c r="EY45">
        <v>0</v>
      </c>
      <c r="FQ45">
        <v>0</v>
      </c>
      <c r="FR45">
        <f t="shared" si="40"/>
        <v>0</v>
      </c>
      <c r="FS45">
        <v>0</v>
      </c>
      <c r="FX45">
        <v>86</v>
      </c>
      <c r="FY45">
        <v>70</v>
      </c>
      <c r="GA45" t="s">
        <v>5</v>
      </c>
      <c r="GD45">
        <v>0</v>
      </c>
      <c r="GF45">
        <v>842726972</v>
      </c>
      <c r="GG45">
        <v>1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1"/>
        <v>0</v>
      </c>
      <c r="GM45">
        <f t="shared" si="42"/>
        <v>2385</v>
      </c>
      <c r="GN45">
        <f t="shared" si="43"/>
        <v>2385</v>
      </c>
      <c r="GO45">
        <f t="shared" si="44"/>
        <v>0</v>
      </c>
      <c r="GP45">
        <f t="shared" si="45"/>
        <v>0</v>
      </c>
      <c r="GR45">
        <v>0</v>
      </c>
      <c r="GS45">
        <v>3</v>
      </c>
      <c r="GT45">
        <v>0</v>
      </c>
      <c r="GU45" t="s">
        <v>5</v>
      </c>
      <c r="GV45">
        <f t="shared" si="46"/>
        <v>0</v>
      </c>
      <c r="GW45">
        <v>1</v>
      </c>
      <c r="GX45">
        <f t="shared" si="47"/>
        <v>0</v>
      </c>
      <c r="HA45">
        <v>0</v>
      </c>
      <c r="HB45">
        <v>0</v>
      </c>
      <c r="IF45">
        <v>-1</v>
      </c>
      <c r="IK45">
        <v>0</v>
      </c>
      <c r="IL45" t="s">
        <v>339</v>
      </c>
      <c r="IM45">
        <v>5.65</v>
      </c>
    </row>
    <row r="46" spans="1:255" x14ac:dyDescent="0.2">
      <c r="A46" s="2">
        <v>17</v>
      </c>
      <c r="B46" s="2">
        <v>1</v>
      </c>
      <c r="C46" s="2">
        <f>ROW(SmtRes!A98)</f>
        <v>98</v>
      </c>
      <c r="D46" s="2">
        <f>ROW(EtalonRes!A116)</f>
        <v>116</v>
      </c>
      <c r="E46" s="2" t="s">
        <v>77</v>
      </c>
      <c r="F46" s="2" t="s">
        <v>78</v>
      </c>
      <c r="G46" s="2" t="s">
        <v>79</v>
      </c>
      <c r="H46" s="2" t="s">
        <v>15</v>
      </c>
      <c r="I46" s="2">
        <f>'1.Смета.или.Акт'!E99</f>
        <v>0.51949999999999996</v>
      </c>
      <c r="J46" s="2">
        <v>0</v>
      </c>
      <c r="K46" s="2"/>
      <c r="L46" s="2"/>
      <c r="M46" s="2"/>
      <c r="N46" s="2"/>
      <c r="O46" s="2">
        <f t="shared" si="14"/>
        <v>812</v>
      </c>
      <c r="P46" s="2">
        <f t="shared" si="15"/>
        <v>0</v>
      </c>
      <c r="Q46" s="2">
        <f t="shared" si="16"/>
        <v>18</v>
      </c>
      <c r="R46" s="2">
        <f t="shared" si="17"/>
        <v>4</v>
      </c>
      <c r="S46" s="2">
        <f t="shared" si="18"/>
        <v>794</v>
      </c>
      <c r="T46" s="2">
        <f t="shared" si="19"/>
        <v>0</v>
      </c>
      <c r="U46" s="2">
        <f t="shared" si="20"/>
        <v>86.48116499999999</v>
      </c>
      <c r="V46" s="2">
        <f t="shared" si="21"/>
        <v>0.30130999999999997</v>
      </c>
      <c r="W46" s="2">
        <f t="shared" si="22"/>
        <v>0</v>
      </c>
      <c r="X46" s="2">
        <f t="shared" si="23"/>
        <v>838</v>
      </c>
      <c r="Y46" s="2">
        <f t="shared" si="24"/>
        <v>439</v>
      </c>
      <c r="Z46" s="2"/>
      <c r="AA46" s="2">
        <v>34763685</v>
      </c>
      <c r="AB46" s="2">
        <f>'1.Смета.или.Акт'!F99</f>
        <v>1563.91</v>
      </c>
      <c r="AC46" s="2">
        <f t="shared" si="25"/>
        <v>0.36</v>
      </c>
      <c r="AD46" s="2">
        <f>'1.Смета.или.Акт'!H99</f>
        <v>35.36</v>
      </c>
      <c r="AE46" s="2">
        <f>'1.Смета.или.Акт'!I99</f>
        <v>6.88</v>
      </c>
      <c r="AF46" s="2">
        <f>'1.Смета.или.Акт'!G99</f>
        <v>1528.19</v>
      </c>
      <c r="AG46" s="2">
        <f t="shared" si="26"/>
        <v>0</v>
      </c>
      <c r="AH46" s="2">
        <f t="shared" si="27"/>
        <v>166.47</v>
      </c>
      <c r="AI46" s="2">
        <f t="shared" si="28"/>
        <v>0.57999999999999996</v>
      </c>
      <c r="AJ46" s="2">
        <f t="shared" si="29"/>
        <v>0</v>
      </c>
      <c r="AK46" s="2">
        <v>1563.91</v>
      </c>
      <c r="AL46" s="2">
        <v>0.36</v>
      </c>
      <c r="AM46" s="2">
        <v>35.36</v>
      </c>
      <c r="AN46" s="2">
        <v>6.88</v>
      </c>
      <c r="AO46" s="2">
        <v>1528.19</v>
      </c>
      <c r="AP46" s="2">
        <v>0</v>
      </c>
      <c r="AQ46" s="2">
        <v>166.47</v>
      </c>
      <c r="AR46" s="2">
        <v>0.57999999999999996</v>
      </c>
      <c r="AS46" s="2">
        <v>0</v>
      </c>
      <c r="AT46" s="2">
        <f>'1.Смета.или.Акт'!E100</f>
        <v>105</v>
      </c>
      <c r="AU46" s="2">
        <f>'1.Смета.или.Акт'!E101</f>
        <v>55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5</v>
      </c>
      <c r="BE46" s="2" t="s">
        <v>5</v>
      </c>
      <c r="BF46" s="2" t="s">
        <v>5</v>
      </c>
      <c r="BG46" s="2" t="s">
        <v>5</v>
      </c>
      <c r="BH46" s="2">
        <v>0</v>
      </c>
      <c r="BI46" s="2">
        <v>1</v>
      </c>
      <c r="BJ46" s="2" t="s">
        <v>80</v>
      </c>
      <c r="BK46" s="2"/>
      <c r="BL46" s="2"/>
      <c r="BM46" s="2">
        <v>15001</v>
      </c>
      <c r="BN46" s="2">
        <v>0</v>
      </c>
      <c r="BO46" s="2" t="s">
        <v>5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5</v>
      </c>
      <c r="BZ46" s="2">
        <v>105</v>
      </c>
      <c r="CA46" s="2">
        <v>55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5</v>
      </c>
      <c r="CO46" s="2">
        <v>0</v>
      </c>
      <c r="CP46" s="2">
        <f>IF('1.Смета.или.Акт'!F99=AC46+AD46+AF46,P46+Q46+S46,I46*AB46)</f>
        <v>812</v>
      </c>
      <c r="CQ46" s="2">
        <f t="shared" si="30"/>
        <v>0.36</v>
      </c>
      <c r="CR46" s="2">
        <f t="shared" si="31"/>
        <v>35.36</v>
      </c>
      <c r="CS46" s="2">
        <f t="shared" si="32"/>
        <v>6.88</v>
      </c>
      <c r="CT46" s="2">
        <f t="shared" si="33"/>
        <v>1528.19</v>
      </c>
      <c r="CU46" s="2">
        <f t="shared" si="34"/>
        <v>0</v>
      </c>
      <c r="CV46" s="2">
        <f t="shared" si="35"/>
        <v>166.47</v>
      </c>
      <c r="CW46" s="2">
        <f t="shared" si="36"/>
        <v>0.57999999999999996</v>
      </c>
      <c r="CX46" s="2">
        <f t="shared" si="37"/>
        <v>0</v>
      </c>
      <c r="CY46" s="2">
        <f t="shared" si="38"/>
        <v>837.9</v>
      </c>
      <c r="CZ46" s="2">
        <f t="shared" si="39"/>
        <v>438.9</v>
      </c>
      <c r="DA46" s="2"/>
      <c r="DB46" s="2"/>
      <c r="DC46" s="2" t="s">
        <v>5</v>
      </c>
      <c r="DD46" s="2" t="s">
        <v>5</v>
      </c>
      <c r="DE46" s="2" t="s">
        <v>5</v>
      </c>
      <c r="DF46" s="2" t="s">
        <v>5</v>
      </c>
      <c r="DG46" s="2" t="s">
        <v>5</v>
      </c>
      <c r="DH46" s="2" t="s">
        <v>5</v>
      </c>
      <c r="DI46" s="2" t="s">
        <v>5</v>
      </c>
      <c r="DJ46" s="2" t="s">
        <v>5</v>
      </c>
      <c r="DK46" s="2" t="s">
        <v>5</v>
      </c>
      <c r="DL46" s="2" t="s">
        <v>5</v>
      </c>
      <c r="DM46" s="2" t="s">
        <v>5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15</v>
      </c>
      <c r="DW46" s="2" t="str">
        <f>'1.Смета.или.Акт'!D99</f>
        <v>100 м2</v>
      </c>
      <c r="DX46" s="2">
        <v>100</v>
      </c>
      <c r="DY46" s="2"/>
      <c r="DZ46" s="2"/>
      <c r="EA46" s="2"/>
      <c r="EB46" s="2"/>
      <c r="EC46" s="2"/>
      <c r="ED46" s="2"/>
      <c r="EE46" s="2">
        <v>32653384</v>
      </c>
      <c r="EF46" s="2">
        <v>1</v>
      </c>
      <c r="EG46" s="2" t="s">
        <v>17</v>
      </c>
      <c r="EH46" s="2">
        <v>0</v>
      </c>
      <c r="EI46" s="2" t="s">
        <v>5</v>
      </c>
      <c r="EJ46" s="2">
        <v>1</v>
      </c>
      <c r="EK46" s="2">
        <v>15001</v>
      </c>
      <c r="EL46" s="2" t="s">
        <v>81</v>
      </c>
      <c r="EM46" s="2" t="s">
        <v>82</v>
      </c>
      <c r="EN46" s="2"/>
      <c r="EO46" s="2" t="s">
        <v>5</v>
      </c>
      <c r="EP46" s="2"/>
      <c r="EQ46" s="2">
        <v>0</v>
      </c>
      <c r="ER46" s="2">
        <v>1563.91</v>
      </c>
      <c r="ES46" s="2">
        <v>0.36</v>
      </c>
      <c r="ET46" s="2">
        <v>35.36</v>
      </c>
      <c r="EU46" s="2">
        <v>6.88</v>
      </c>
      <c r="EV46" s="2">
        <v>1528.19</v>
      </c>
      <c r="EW46" s="2">
        <v>166.47</v>
      </c>
      <c r="EX46" s="2">
        <v>0.57999999999999996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0"/>
        <v>0</v>
      </c>
      <c r="FS46" s="2">
        <v>0</v>
      </c>
      <c r="FT46" s="2"/>
      <c r="FU46" s="2"/>
      <c r="FV46" s="2"/>
      <c r="FW46" s="2"/>
      <c r="FX46" s="2">
        <v>105</v>
      </c>
      <c r="FY46" s="2">
        <v>55</v>
      </c>
      <c r="FZ46" s="2"/>
      <c r="GA46" s="2" t="s">
        <v>5</v>
      </c>
      <c r="GB46" s="2"/>
      <c r="GC46" s="2"/>
      <c r="GD46" s="2">
        <v>0</v>
      </c>
      <c r="GE46" s="2"/>
      <c r="GF46" s="2">
        <v>251333065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1"/>
        <v>0</v>
      </c>
      <c r="GM46" s="2">
        <f t="shared" si="42"/>
        <v>2089</v>
      </c>
      <c r="GN46" s="2">
        <f t="shared" si="43"/>
        <v>2089</v>
      </c>
      <c r="GO46" s="2">
        <f t="shared" si="44"/>
        <v>0</v>
      </c>
      <c r="GP46" s="2">
        <f t="shared" si="45"/>
        <v>0</v>
      </c>
      <c r="GQ46" s="2"/>
      <c r="GR46" s="2">
        <v>0</v>
      </c>
      <c r="GS46" s="2">
        <v>3</v>
      </c>
      <c r="GT46" s="2">
        <v>0</v>
      </c>
      <c r="GU46" s="2" t="s">
        <v>5</v>
      </c>
      <c r="GV46" s="2">
        <f t="shared" si="46"/>
        <v>0</v>
      </c>
      <c r="GW46" s="2">
        <v>1</v>
      </c>
      <c r="GX46" s="2">
        <f t="shared" si="47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 t="s">
        <v>333</v>
      </c>
      <c r="IM46" s="2">
        <v>0.51949999999999996</v>
      </c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ROW(SmtRes!A106)</f>
        <v>106</v>
      </c>
      <c r="D47">
        <f>ROW(EtalonRes!A124)</f>
        <v>124</v>
      </c>
      <c r="E47" t="s">
        <v>77</v>
      </c>
      <c r="F47" t="s">
        <v>78</v>
      </c>
      <c r="G47" t="s">
        <v>79</v>
      </c>
      <c r="H47" t="s">
        <v>15</v>
      </c>
      <c r="I47">
        <f>'1.Смета.или.Акт'!E99</f>
        <v>0.51949999999999996</v>
      </c>
      <c r="J47">
        <v>0</v>
      </c>
      <c r="O47">
        <f t="shared" si="14"/>
        <v>5509</v>
      </c>
      <c r="P47">
        <f t="shared" si="15"/>
        <v>1</v>
      </c>
      <c r="Q47">
        <f t="shared" si="16"/>
        <v>125</v>
      </c>
      <c r="R47">
        <f t="shared" si="17"/>
        <v>24</v>
      </c>
      <c r="S47">
        <f t="shared" si="18"/>
        <v>5383</v>
      </c>
      <c r="T47">
        <f t="shared" si="19"/>
        <v>0</v>
      </c>
      <c r="U47">
        <f t="shared" si="20"/>
        <v>86.48116499999999</v>
      </c>
      <c r="V47">
        <f t="shared" si="21"/>
        <v>0.30130999999999997</v>
      </c>
      <c r="W47">
        <f t="shared" si="22"/>
        <v>0</v>
      </c>
      <c r="X47">
        <f t="shared" si="23"/>
        <v>5677</v>
      </c>
      <c r="Y47">
        <f t="shared" si="24"/>
        <v>2974</v>
      </c>
      <c r="AA47">
        <v>34763707</v>
      </c>
      <c r="AB47">
        <f t="shared" si="48"/>
        <v>1563.91</v>
      </c>
      <c r="AC47">
        <f t="shared" si="25"/>
        <v>0.36</v>
      </c>
      <c r="AD47">
        <f t="shared" si="49"/>
        <v>35.36</v>
      </c>
      <c r="AE47">
        <f t="shared" si="50"/>
        <v>6.88</v>
      </c>
      <c r="AF47">
        <f t="shared" si="51"/>
        <v>1528.19</v>
      </c>
      <c r="AG47">
        <f t="shared" si="26"/>
        <v>0</v>
      </c>
      <c r="AH47">
        <f t="shared" si="27"/>
        <v>166.47</v>
      </c>
      <c r="AI47">
        <f t="shared" si="28"/>
        <v>0.57999999999999996</v>
      </c>
      <c r="AJ47">
        <f t="shared" si="29"/>
        <v>0</v>
      </c>
      <c r="AK47">
        <v>1563.91</v>
      </c>
      <c r="AL47">
        <v>0.36</v>
      </c>
      <c r="AM47">
        <v>35.36</v>
      </c>
      <c r="AN47">
        <v>6.88</v>
      </c>
      <c r="AO47">
        <v>1528.19</v>
      </c>
      <c r="AP47">
        <v>0</v>
      </c>
      <c r="AQ47">
        <v>166.47</v>
      </c>
      <c r="AR47">
        <v>0.57999999999999996</v>
      </c>
      <c r="AS47">
        <v>0</v>
      </c>
      <c r="AT47">
        <v>105</v>
      </c>
      <c r="AU47">
        <v>55</v>
      </c>
      <c r="AV47">
        <v>1</v>
      </c>
      <c r="AW47">
        <v>1</v>
      </c>
      <c r="AZ47">
        <v>6.78</v>
      </c>
      <c r="BA47">
        <v>6.78</v>
      </c>
      <c r="BB47">
        <v>6.78</v>
      </c>
      <c r="BC47">
        <v>6.78</v>
      </c>
      <c r="BD47" t="s">
        <v>5</v>
      </c>
      <c r="BE47" t="s">
        <v>5</v>
      </c>
      <c r="BF47" t="s">
        <v>5</v>
      </c>
      <c r="BG47" t="s">
        <v>5</v>
      </c>
      <c r="BH47">
        <v>0</v>
      </c>
      <c r="BI47">
        <v>1</v>
      </c>
      <c r="BJ47" t="s">
        <v>80</v>
      </c>
      <c r="BM47">
        <v>15001</v>
      </c>
      <c r="BN47">
        <v>0</v>
      </c>
      <c r="BO47" t="s">
        <v>5</v>
      </c>
      <c r="BP47">
        <v>0</v>
      </c>
      <c r="BQ47">
        <v>1</v>
      </c>
      <c r="BR47">
        <v>0</v>
      </c>
      <c r="BS47">
        <v>6.78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5</v>
      </c>
      <c r="BZ47">
        <v>105</v>
      </c>
      <c r="CA47">
        <v>55</v>
      </c>
      <c r="CF47">
        <v>0</v>
      </c>
      <c r="CG47">
        <v>0</v>
      </c>
      <c r="CM47">
        <v>0</v>
      </c>
      <c r="CN47" t="s">
        <v>5</v>
      </c>
      <c r="CO47">
        <v>0</v>
      </c>
      <c r="CP47">
        <f t="shared" si="52"/>
        <v>5509</v>
      </c>
      <c r="CQ47">
        <f t="shared" si="30"/>
        <v>2.4407999999999999</v>
      </c>
      <c r="CR47">
        <f t="shared" si="31"/>
        <v>239.74080000000001</v>
      </c>
      <c r="CS47">
        <f t="shared" si="32"/>
        <v>46.6464</v>
      </c>
      <c r="CT47">
        <f t="shared" si="33"/>
        <v>10361.128200000001</v>
      </c>
      <c r="CU47">
        <f t="shared" si="34"/>
        <v>0</v>
      </c>
      <c r="CV47">
        <f t="shared" si="35"/>
        <v>166.47</v>
      </c>
      <c r="CW47">
        <f t="shared" si="36"/>
        <v>0.57999999999999996</v>
      </c>
      <c r="CX47">
        <f t="shared" si="37"/>
        <v>0</v>
      </c>
      <c r="CY47">
        <f t="shared" si="38"/>
        <v>5677.35</v>
      </c>
      <c r="CZ47">
        <f t="shared" si="39"/>
        <v>2973.85</v>
      </c>
      <c r="DC47" t="s">
        <v>5</v>
      </c>
      <c r="DD47" t="s">
        <v>5</v>
      </c>
      <c r="DE47" t="s">
        <v>5</v>
      </c>
      <c r="DF47" t="s">
        <v>5</v>
      </c>
      <c r="DG47" t="s">
        <v>5</v>
      </c>
      <c r="DH47" t="s">
        <v>5</v>
      </c>
      <c r="DI47" t="s">
        <v>5</v>
      </c>
      <c r="DJ47" t="s">
        <v>5</v>
      </c>
      <c r="DK47" t="s">
        <v>5</v>
      </c>
      <c r="DL47" t="s">
        <v>5</v>
      </c>
      <c r="DM47" t="s">
        <v>5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15</v>
      </c>
      <c r="DW47" t="s">
        <v>15</v>
      </c>
      <c r="DX47">
        <v>100</v>
      </c>
      <c r="EE47">
        <v>32653384</v>
      </c>
      <c r="EF47">
        <v>1</v>
      </c>
      <c r="EG47" t="s">
        <v>17</v>
      </c>
      <c r="EH47">
        <v>0</v>
      </c>
      <c r="EI47" t="s">
        <v>5</v>
      </c>
      <c r="EJ47">
        <v>1</v>
      </c>
      <c r="EK47">
        <v>15001</v>
      </c>
      <c r="EL47" t="s">
        <v>81</v>
      </c>
      <c r="EM47" t="s">
        <v>82</v>
      </c>
      <c r="EO47" t="s">
        <v>5</v>
      </c>
      <c r="EQ47">
        <v>0</v>
      </c>
      <c r="ER47">
        <v>1563.91</v>
      </c>
      <c r="ES47">
        <v>0.36</v>
      </c>
      <c r="ET47">
        <v>35.36</v>
      </c>
      <c r="EU47">
        <v>6.88</v>
      </c>
      <c r="EV47">
        <v>1528.19</v>
      </c>
      <c r="EW47">
        <v>166.47</v>
      </c>
      <c r="EX47">
        <v>0.57999999999999996</v>
      </c>
      <c r="EY47">
        <v>0</v>
      </c>
      <c r="FQ47">
        <v>0</v>
      </c>
      <c r="FR47">
        <f t="shared" si="40"/>
        <v>0</v>
      </c>
      <c r="FS47">
        <v>0</v>
      </c>
      <c r="FX47">
        <v>105</v>
      </c>
      <c r="FY47">
        <v>55</v>
      </c>
      <c r="GA47" t="s">
        <v>5</v>
      </c>
      <c r="GD47">
        <v>0</v>
      </c>
      <c r="GF47">
        <v>251333065</v>
      </c>
      <c r="GG47">
        <v>1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1"/>
        <v>0</v>
      </c>
      <c r="GM47">
        <f t="shared" si="42"/>
        <v>14160</v>
      </c>
      <c r="GN47">
        <f t="shared" si="43"/>
        <v>14160</v>
      </c>
      <c r="GO47">
        <f t="shared" si="44"/>
        <v>0</v>
      </c>
      <c r="GP47">
        <f t="shared" si="45"/>
        <v>0</v>
      </c>
      <c r="GR47">
        <v>0</v>
      </c>
      <c r="GS47">
        <v>3</v>
      </c>
      <c r="GT47">
        <v>0</v>
      </c>
      <c r="GU47" t="s">
        <v>5</v>
      </c>
      <c r="GV47">
        <f t="shared" si="46"/>
        <v>0</v>
      </c>
      <c r="GW47">
        <v>1</v>
      </c>
      <c r="GX47">
        <f t="shared" si="47"/>
        <v>0</v>
      </c>
      <c r="HA47">
        <v>0</v>
      </c>
      <c r="HB47">
        <v>0</v>
      </c>
      <c r="IF47">
        <v>-1</v>
      </c>
      <c r="IK47">
        <v>0</v>
      </c>
      <c r="IL47" t="s">
        <v>333</v>
      </c>
      <c r="IM47">
        <v>0.51949999999999996</v>
      </c>
    </row>
    <row r="48" spans="1:255" x14ac:dyDescent="0.2">
      <c r="A48" s="2">
        <v>18</v>
      </c>
      <c r="B48" s="2">
        <v>1</v>
      </c>
      <c r="C48" s="2">
        <v>97</v>
      </c>
      <c r="D48" s="2"/>
      <c r="E48" s="2" t="s">
        <v>83</v>
      </c>
      <c r="F48" s="2" t="str">
        <f>'1.Смета.или.Акт'!B104</f>
        <v>прайс-лист</v>
      </c>
      <c r="G48" s="2" t="str">
        <f>'1.Смета.или.Акт'!C104</f>
        <v>Откос оконный утепл. 1500х250х10мм</v>
      </c>
      <c r="H48" s="2" t="s">
        <v>85</v>
      </c>
      <c r="I48" s="2">
        <f>I46*J48</f>
        <v>54.547499999999999</v>
      </c>
      <c r="J48" s="2">
        <v>105</v>
      </c>
      <c r="K48" s="2"/>
      <c r="L48" s="2"/>
      <c r="M48" s="2"/>
      <c r="N48" s="2"/>
      <c r="O48" s="2">
        <f t="shared" si="14"/>
        <v>1592</v>
      </c>
      <c r="P48" s="2">
        <f t="shared" si="15"/>
        <v>1592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34763685</v>
      </c>
      <c r="AB48" s="2">
        <f t="shared" si="48"/>
        <v>29.19</v>
      </c>
      <c r="AC48" s="2">
        <f>'1.Смета.или.Акт'!F104</f>
        <v>29.19</v>
      </c>
      <c r="AD48" s="2">
        <f t="shared" si="49"/>
        <v>0</v>
      </c>
      <c r="AE48" s="2">
        <f t="shared" si="50"/>
        <v>0</v>
      </c>
      <c r="AF48" s="2">
        <f t="shared" si="51"/>
        <v>0</v>
      </c>
      <c r="AG48" s="2">
        <f t="shared" si="26"/>
        <v>0</v>
      </c>
      <c r="AH48" s="2">
        <f t="shared" si="27"/>
        <v>0</v>
      </c>
      <c r="AI48" s="2">
        <f t="shared" si="28"/>
        <v>0</v>
      </c>
      <c r="AJ48" s="2">
        <f t="shared" si="29"/>
        <v>0</v>
      </c>
      <c r="AK48" s="2">
        <v>29.19</v>
      </c>
      <c r="AL48" s="2">
        <v>29.19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5</v>
      </c>
      <c r="BE48" s="2" t="s">
        <v>5</v>
      </c>
      <c r="BF48" s="2" t="s">
        <v>5</v>
      </c>
      <c r="BG48" s="2" t="s">
        <v>5</v>
      </c>
      <c r="BH48" s="2">
        <v>3</v>
      </c>
      <c r="BI48" s="2">
        <v>1</v>
      </c>
      <c r="BJ48" s="2" t="s">
        <v>5</v>
      </c>
      <c r="BK48" s="2"/>
      <c r="BL48" s="2"/>
      <c r="BM48" s="2">
        <v>0</v>
      </c>
      <c r="BN48" s="2">
        <v>0</v>
      </c>
      <c r="BO48" s="2" t="s">
        <v>5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5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5</v>
      </c>
      <c r="CO48" s="2">
        <v>0</v>
      </c>
      <c r="CP48" s="2">
        <f>IF('1.Смета.или.Акт'!F104=AC48+AD48+AF48,P48+Q48+S48,I48*AB48)</f>
        <v>1592</v>
      </c>
      <c r="CQ48" s="2">
        <f t="shared" si="30"/>
        <v>29.19</v>
      </c>
      <c r="CR48" s="2">
        <f t="shared" si="31"/>
        <v>0</v>
      </c>
      <c r="CS48" s="2">
        <f t="shared" si="32"/>
        <v>0</v>
      </c>
      <c r="CT48" s="2">
        <f t="shared" si="33"/>
        <v>0</v>
      </c>
      <c r="CU48" s="2">
        <f t="shared" si="34"/>
        <v>0</v>
      </c>
      <c r="CV48" s="2">
        <f t="shared" si="35"/>
        <v>0</v>
      </c>
      <c r="CW48" s="2">
        <f t="shared" si="36"/>
        <v>0</v>
      </c>
      <c r="CX48" s="2">
        <f t="shared" si="37"/>
        <v>0</v>
      </c>
      <c r="CY48" s="2">
        <f t="shared" si="38"/>
        <v>0</v>
      </c>
      <c r="CZ48" s="2">
        <f t="shared" si="39"/>
        <v>0</v>
      </c>
      <c r="DA48" s="2"/>
      <c r="DB48" s="2"/>
      <c r="DC48" s="2" t="s">
        <v>5</v>
      </c>
      <c r="DD48" s="2" t="s">
        <v>5</v>
      </c>
      <c r="DE48" s="2" t="s">
        <v>5</v>
      </c>
      <c r="DF48" s="2" t="s">
        <v>5</v>
      </c>
      <c r="DG48" s="2" t="s">
        <v>5</v>
      </c>
      <c r="DH48" s="2" t="s">
        <v>5</v>
      </c>
      <c r="DI48" s="2" t="s">
        <v>5</v>
      </c>
      <c r="DJ48" s="2" t="s">
        <v>5</v>
      </c>
      <c r="DK48" s="2" t="s">
        <v>5</v>
      </c>
      <c r="DL48" s="2" t="s">
        <v>5</v>
      </c>
      <c r="DM48" s="2" t="s">
        <v>5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1005</v>
      </c>
      <c r="DV48" s="2" t="s">
        <v>85</v>
      </c>
      <c r="DW48" s="2" t="str">
        <f>'1.Смета.или.Акт'!D104</f>
        <v>м2</v>
      </c>
      <c r="DX48" s="2">
        <v>1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45</v>
      </c>
      <c r="EH48" s="2">
        <v>0</v>
      </c>
      <c r="EI48" s="2" t="s">
        <v>5</v>
      </c>
      <c r="EJ48" s="2">
        <v>1</v>
      </c>
      <c r="EK48" s="2">
        <v>0</v>
      </c>
      <c r="EL48" s="2" t="s">
        <v>46</v>
      </c>
      <c r="EM48" s="2" t="s">
        <v>47</v>
      </c>
      <c r="EN48" s="2"/>
      <c r="EO48" s="2" t="s">
        <v>5</v>
      </c>
      <c r="EP48" s="2"/>
      <c r="EQ48" s="2">
        <v>0</v>
      </c>
      <c r="ER48" s="2">
        <v>0</v>
      </c>
      <c r="ES48" s="2">
        <v>29.19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0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86</v>
      </c>
      <c r="GB48" s="2"/>
      <c r="GC48" s="2"/>
      <c r="GD48" s="2">
        <v>0</v>
      </c>
      <c r="GE48" s="2"/>
      <c r="GF48" s="2">
        <v>351952203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1"/>
        <v>0</v>
      </c>
      <c r="GM48" s="2">
        <f t="shared" si="42"/>
        <v>1592</v>
      </c>
      <c r="GN48" s="2">
        <f t="shared" si="43"/>
        <v>1592</v>
      </c>
      <c r="GO48" s="2">
        <f t="shared" si="44"/>
        <v>0</v>
      </c>
      <c r="GP48" s="2">
        <f t="shared" si="45"/>
        <v>0</v>
      </c>
      <c r="GQ48" s="2"/>
      <c r="GR48" s="2">
        <v>0</v>
      </c>
      <c r="GS48" s="2">
        <v>2</v>
      </c>
      <c r="GT48" s="2">
        <v>0</v>
      </c>
      <c r="GU48" s="2" t="s">
        <v>5</v>
      </c>
      <c r="GV48" s="2">
        <f t="shared" si="46"/>
        <v>0</v>
      </c>
      <c r="GW48" s="2">
        <v>1</v>
      </c>
      <c r="GX48" s="2">
        <f t="shared" si="47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105</v>
      </c>
      <c r="E49" t="s">
        <v>83</v>
      </c>
      <c r="F49" t="s">
        <v>42</v>
      </c>
      <c r="G49" t="s">
        <v>84</v>
      </c>
      <c r="H49" t="s">
        <v>85</v>
      </c>
      <c r="I49">
        <f>I47*J49</f>
        <v>54.547499999999999</v>
      </c>
      <c r="J49">
        <v>105</v>
      </c>
      <c r="O49">
        <f t="shared" si="14"/>
        <v>10795</v>
      </c>
      <c r="P49">
        <f t="shared" si="15"/>
        <v>10795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34763707</v>
      </c>
      <c r="AB49">
        <f t="shared" si="48"/>
        <v>29.19</v>
      </c>
      <c r="AC49">
        <f t="shared" si="25"/>
        <v>29.19</v>
      </c>
      <c r="AD49">
        <f t="shared" si="49"/>
        <v>0</v>
      </c>
      <c r="AE49">
        <f t="shared" si="50"/>
        <v>0</v>
      </c>
      <c r="AF49">
        <f t="shared" si="51"/>
        <v>0</v>
      </c>
      <c r="AG49">
        <f t="shared" si="26"/>
        <v>0</v>
      </c>
      <c r="AH49">
        <f t="shared" si="27"/>
        <v>0</v>
      </c>
      <c r="AI49">
        <f t="shared" si="28"/>
        <v>0</v>
      </c>
      <c r="AJ49">
        <f t="shared" si="29"/>
        <v>0</v>
      </c>
      <c r="AK49">
        <v>29.19</v>
      </c>
      <c r="AL49">
        <v>29.19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106</v>
      </c>
      <c r="AU49">
        <v>65</v>
      </c>
      <c r="AV49">
        <v>1</v>
      </c>
      <c r="AW49">
        <v>1</v>
      </c>
      <c r="AZ49">
        <v>6.78</v>
      </c>
      <c r="BA49">
        <v>1</v>
      </c>
      <c r="BB49">
        <v>1</v>
      </c>
      <c r="BC49">
        <v>6.78</v>
      </c>
      <c r="BD49" t="s">
        <v>5</v>
      </c>
      <c r="BE49" t="s">
        <v>5</v>
      </c>
      <c r="BF49" t="s">
        <v>5</v>
      </c>
      <c r="BG49" t="s">
        <v>5</v>
      </c>
      <c r="BH49">
        <v>3</v>
      </c>
      <c r="BI49">
        <v>1</v>
      </c>
      <c r="BJ49" t="s">
        <v>5</v>
      </c>
      <c r="BM49">
        <v>0</v>
      </c>
      <c r="BN49">
        <v>0</v>
      </c>
      <c r="BO49" t="s">
        <v>5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5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5</v>
      </c>
      <c r="CO49">
        <v>0</v>
      </c>
      <c r="CP49">
        <f t="shared" si="52"/>
        <v>10795</v>
      </c>
      <c r="CQ49">
        <f t="shared" si="30"/>
        <v>197.90820000000002</v>
      </c>
      <c r="CR49">
        <f t="shared" si="31"/>
        <v>0</v>
      </c>
      <c r="CS49">
        <f t="shared" si="32"/>
        <v>0</v>
      </c>
      <c r="CT49">
        <f t="shared" si="33"/>
        <v>0</v>
      </c>
      <c r="CU49">
        <f t="shared" si="34"/>
        <v>0</v>
      </c>
      <c r="CV49">
        <f t="shared" si="35"/>
        <v>0</v>
      </c>
      <c r="CW49">
        <f t="shared" si="36"/>
        <v>0</v>
      </c>
      <c r="CX49">
        <f t="shared" si="37"/>
        <v>0</v>
      </c>
      <c r="CY49">
        <f t="shared" si="38"/>
        <v>0</v>
      </c>
      <c r="CZ49">
        <f t="shared" si="39"/>
        <v>0</v>
      </c>
      <c r="DC49" t="s">
        <v>5</v>
      </c>
      <c r="DD49" t="s">
        <v>5</v>
      </c>
      <c r="DE49" t="s">
        <v>5</v>
      </c>
      <c r="DF49" t="s">
        <v>5</v>
      </c>
      <c r="DG49" t="s">
        <v>5</v>
      </c>
      <c r="DH49" t="s">
        <v>5</v>
      </c>
      <c r="DI49" t="s">
        <v>5</v>
      </c>
      <c r="DJ49" t="s">
        <v>5</v>
      </c>
      <c r="DK49" t="s">
        <v>5</v>
      </c>
      <c r="DL49" t="s">
        <v>5</v>
      </c>
      <c r="DM49" t="s">
        <v>5</v>
      </c>
      <c r="DN49">
        <v>0</v>
      </c>
      <c r="DO49">
        <v>0</v>
      </c>
      <c r="DP49">
        <v>1</v>
      </c>
      <c r="DQ49">
        <v>1</v>
      </c>
      <c r="DU49">
        <v>1005</v>
      </c>
      <c r="DV49" t="s">
        <v>85</v>
      </c>
      <c r="DW49" t="s">
        <v>85</v>
      </c>
      <c r="DX49">
        <v>1</v>
      </c>
      <c r="EE49">
        <v>32653299</v>
      </c>
      <c r="EF49">
        <v>20</v>
      </c>
      <c r="EG49" t="s">
        <v>45</v>
      </c>
      <c r="EH49">
        <v>0</v>
      </c>
      <c r="EI49" t="s">
        <v>5</v>
      </c>
      <c r="EJ49">
        <v>1</v>
      </c>
      <c r="EK49">
        <v>0</v>
      </c>
      <c r="EL49" t="s">
        <v>46</v>
      </c>
      <c r="EM49" t="s">
        <v>47</v>
      </c>
      <c r="EO49" t="s">
        <v>5</v>
      </c>
      <c r="EQ49">
        <v>0</v>
      </c>
      <c r="ER49">
        <v>29.19</v>
      </c>
      <c r="ES49">
        <v>29.19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197.92</v>
      </c>
      <c r="FQ49">
        <v>0</v>
      </c>
      <c r="FR49">
        <f t="shared" si="40"/>
        <v>0</v>
      </c>
      <c r="FS49">
        <v>0</v>
      </c>
      <c r="FX49">
        <v>106</v>
      </c>
      <c r="FY49">
        <v>65</v>
      </c>
      <c r="GA49" t="s">
        <v>86</v>
      </c>
      <c r="GD49">
        <v>0</v>
      </c>
      <c r="GF49">
        <v>351952203</v>
      </c>
      <c r="GG49">
        <v>1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1"/>
        <v>0</v>
      </c>
      <c r="GM49">
        <f t="shared" si="42"/>
        <v>10795</v>
      </c>
      <c r="GN49">
        <f t="shared" si="43"/>
        <v>10795</v>
      </c>
      <c r="GO49">
        <f t="shared" si="44"/>
        <v>0</v>
      </c>
      <c r="GP49">
        <f t="shared" si="45"/>
        <v>0</v>
      </c>
      <c r="GR49">
        <v>1</v>
      </c>
      <c r="GS49">
        <v>1</v>
      </c>
      <c r="GT49">
        <v>0</v>
      </c>
      <c r="GU49" t="s">
        <v>5</v>
      </c>
      <c r="GV49">
        <f t="shared" si="46"/>
        <v>0</v>
      </c>
      <c r="GW49">
        <v>1</v>
      </c>
      <c r="GX49">
        <f t="shared" si="47"/>
        <v>0</v>
      </c>
      <c r="HA49">
        <v>0</v>
      </c>
      <c r="HB49">
        <v>0</v>
      </c>
      <c r="IF49">
        <v>-1</v>
      </c>
      <c r="IK49">
        <v>0</v>
      </c>
    </row>
    <row r="50" spans="1:255" x14ac:dyDescent="0.2">
      <c r="A50" s="2">
        <v>18</v>
      </c>
      <c r="B50" s="2">
        <v>1</v>
      </c>
      <c r="C50" s="2">
        <v>98</v>
      </c>
      <c r="D50" s="2"/>
      <c r="E50" s="2" t="s">
        <v>87</v>
      </c>
      <c r="F50" s="2" t="str">
        <f>'1.Смета.или.Акт'!B106</f>
        <v>прайс-лист</v>
      </c>
      <c r="G50" s="2" t="str">
        <f>'1.Смета.или.Акт'!C106</f>
        <v>Отлив 1500х200</v>
      </c>
      <c r="H50" s="2" t="s">
        <v>89</v>
      </c>
      <c r="I50" s="2">
        <f>I46*J50</f>
        <v>25.15</v>
      </c>
      <c r="J50" s="2">
        <v>48.411934552454284</v>
      </c>
      <c r="K50" s="2"/>
      <c r="L50" s="2"/>
      <c r="M50" s="2"/>
      <c r="N50" s="2"/>
      <c r="O50" s="2">
        <f t="shared" si="14"/>
        <v>1072</v>
      </c>
      <c r="P50" s="2">
        <f t="shared" si="15"/>
        <v>1072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34763685</v>
      </c>
      <c r="AB50" s="2">
        <f t="shared" si="48"/>
        <v>42.63</v>
      </c>
      <c r="AC50" s="2">
        <f>'1.Смета.или.Акт'!F106</f>
        <v>42.63</v>
      </c>
      <c r="AD50" s="2">
        <f t="shared" si="49"/>
        <v>0</v>
      </c>
      <c r="AE50" s="2">
        <f t="shared" si="50"/>
        <v>0</v>
      </c>
      <c r="AF50" s="2">
        <f t="shared" si="51"/>
        <v>0</v>
      </c>
      <c r="AG50" s="2">
        <f t="shared" si="26"/>
        <v>0</v>
      </c>
      <c r="AH50" s="2">
        <f t="shared" si="27"/>
        <v>0</v>
      </c>
      <c r="AI50" s="2">
        <f t="shared" si="28"/>
        <v>0</v>
      </c>
      <c r="AJ50" s="2">
        <f t="shared" si="29"/>
        <v>0</v>
      </c>
      <c r="AK50" s="2">
        <v>42.63</v>
      </c>
      <c r="AL50" s="2">
        <v>42.63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5</v>
      </c>
      <c r="BE50" s="2" t="s">
        <v>5</v>
      </c>
      <c r="BF50" s="2" t="s">
        <v>5</v>
      </c>
      <c r="BG50" s="2" t="s">
        <v>5</v>
      </c>
      <c r="BH50" s="2">
        <v>3</v>
      </c>
      <c r="BI50" s="2">
        <v>1</v>
      </c>
      <c r="BJ50" s="2" t="s">
        <v>5</v>
      </c>
      <c r="BK50" s="2"/>
      <c r="BL50" s="2"/>
      <c r="BM50" s="2">
        <v>0</v>
      </c>
      <c r="BN50" s="2">
        <v>0</v>
      </c>
      <c r="BO50" s="2" t="s">
        <v>5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5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5</v>
      </c>
      <c r="CO50" s="2">
        <v>0</v>
      </c>
      <c r="CP50" s="2">
        <f>IF('1.Смета.или.Акт'!F106=AC50+AD50+AF50,P50+Q50+S50,I50*AB50)</f>
        <v>1072</v>
      </c>
      <c r="CQ50" s="2">
        <f t="shared" si="30"/>
        <v>42.63</v>
      </c>
      <c r="CR50" s="2">
        <f t="shared" si="31"/>
        <v>0</v>
      </c>
      <c r="CS50" s="2">
        <f t="shared" si="32"/>
        <v>0</v>
      </c>
      <c r="CT50" s="2">
        <f t="shared" si="33"/>
        <v>0</v>
      </c>
      <c r="CU50" s="2">
        <f t="shared" si="34"/>
        <v>0</v>
      </c>
      <c r="CV50" s="2">
        <f t="shared" si="35"/>
        <v>0</v>
      </c>
      <c r="CW50" s="2">
        <f t="shared" si="36"/>
        <v>0</v>
      </c>
      <c r="CX50" s="2">
        <f t="shared" si="37"/>
        <v>0</v>
      </c>
      <c r="CY50" s="2">
        <f t="shared" si="38"/>
        <v>0</v>
      </c>
      <c r="CZ50" s="2">
        <f t="shared" si="39"/>
        <v>0</v>
      </c>
      <c r="DA50" s="2"/>
      <c r="DB50" s="2"/>
      <c r="DC50" s="2" t="s">
        <v>5</v>
      </c>
      <c r="DD50" s="2" t="s">
        <v>5</v>
      </c>
      <c r="DE50" s="2" t="s">
        <v>5</v>
      </c>
      <c r="DF50" s="2" t="s">
        <v>5</v>
      </c>
      <c r="DG50" s="2" t="s">
        <v>5</v>
      </c>
      <c r="DH50" s="2" t="s">
        <v>5</v>
      </c>
      <c r="DI50" s="2" t="s">
        <v>5</v>
      </c>
      <c r="DJ50" s="2" t="s">
        <v>5</v>
      </c>
      <c r="DK50" s="2" t="s">
        <v>5</v>
      </c>
      <c r="DL50" s="2" t="s">
        <v>5</v>
      </c>
      <c r="DM50" s="2" t="s">
        <v>5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89</v>
      </c>
      <c r="DW50" s="2" t="str">
        <f>'1.Смета.или.Акт'!D106</f>
        <v>м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45</v>
      </c>
      <c r="EH50" s="2">
        <v>0</v>
      </c>
      <c r="EI50" s="2" t="s">
        <v>5</v>
      </c>
      <c r="EJ50" s="2">
        <v>1</v>
      </c>
      <c r="EK50" s="2">
        <v>0</v>
      </c>
      <c r="EL50" s="2" t="s">
        <v>46</v>
      </c>
      <c r="EM50" s="2" t="s">
        <v>47</v>
      </c>
      <c r="EN50" s="2"/>
      <c r="EO50" s="2" t="s">
        <v>5</v>
      </c>
      <c r="EP50" s="2"/>
      <c r="EQ50" s="2">
        <v>0</v>
      </c>
      <c r="ER50" s="2">
        <v>0</v>
      </c>
      <c r="ES50" s="2">
        <v>42.63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0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90</v>
      </c>
      <c r="GB50" s="2"/>
      <c r="GC50" s="2"/>
      <c r="GD50" s="2">
        <v>0</v>
      </c>
      <c r="GE50" s="2"/>
      <c r="GF50" s="2">
        <v>184492587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ROUND(R50*(R12)/100,0)</f>
        <v>0</v>
      </c>
      <c r="GL50" s="2">
        <f t="shared" si="41"/>
        <v>0</v>
      </c>
      <c r="GM50" s="2">
        <f t="shared" si="42"/>
        <v>1072</v>
      </c>
      <c r="GN50" s="2">
        <f t="shared" si="43"/>
        <v>1072</v>
      </c>
      <c r="GO50" s="2">
        <f t="shared" si="44"/>
        <v>0</v>
      </c>
      <c r="GP50" s="2">
        <f t="shared" si="45"/>
        <v>0</v>
      </c>
      <c r="GQ50" s="2"/>
      <c r="GR50" s="2">
        <v>0</v>
      </c>
      <c r="GS50" s="2">
        <v>2</v>
      </c>
      <c r="GT50" s="2">
        <v>0</v>
      </c>
      <c r="GU50" s="2" t="s">
        <v>5</v>
      </c>
      <c r="GV50" s="2">
        <f t="shared" si="46"/>
        <v>0</v>
      </c>
      <c r="GW50" s="2">
        <v>1</v>
      </c>
      <c r="GX50" s="2">
        <f t="shared" si="47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106</v>
      </c>
      <c r="E51" t="s">
        <v>87</v>
      </c>
      <c r="F51" t="s">
        <v>42</v>
      </c>
      <c r="G51" t="s">
        <v>88</v>
      </c>
      <c r="H51" t="s">
        <v>89</v>
      </c>
      <c r="I51">
        <f>I47*J51</f>
        <v>25.15</v>
      </c>
      <c r="J51">
        <v>48.411934552454284</v>
      </c>
      <c r="O51">
        <f t="shared" si="14"/>
        <v>7269</v>
      </c>
      <c r="P51">
        <f t="shared" si="15"/>
        <v>7269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34763707</v>
      </c>
      <c r="AB51">
        <f t="shared" si="48"/>
        <v>42.63</v>
      </c>
      <c r="AC51">
        <f t="shared" si="25"/>
        <v>42.63</v>
      </c>
      <c r="AD51">
        <f t="shared" si="49"/>
        <v>0</v>
      </c>
      <c r="AE51">
        <f t="shared" si="50"/>
        <v>0</v>
      </c>
      <c r="AF51">
        <f t="shared" si="51"/>
        <v>0</v>
      </c>
      <c r="AG51">
        <f t="shared" si="26"/>
        <v>0</v>
      </c>
      <c r="AH51">
        <f t="shared" si="27"/>
        <v>0</v>
      </c>
      <c r="AI51">
        <f t="shared" si="28"/>
        <v>0</v>
      </c>
      <c r="AJ51">
        <f t="shared" si="29"/>
        <v>0</v>
      </c>
      <c r="AK51">
        <v>42.63</v>
      </c>
      <c r="AL51">
        <v>42.63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106</v>
      </c>
      <c r="AU51">
        <v>65</v>
      </c>
      <c r="AV51">
        <v>1</v>
      </c>
      <c r="AW51">
        <v>1</v>
      </c>
      <c r="AZ51">
        <v>6.78</v>
      </c>
      <c r="BA51">
        <v>1</v>
      </c>
      <c r="BB51">
        <v>1</v>
      </c>
      <c r="BC51">
        <v>6.78</v>
      </c>
      <c r="BD51" t="s">
        <v>5</v>
      </c>
      <c r="BE51" t="s">
        <v>5</v>
      </c>
      <c r="BF51" t="s">
        <v>5</v>
      </c>
      <c r="BG51" t="s">
        <v>5</v>
      </c>
      <c r="BH51">
        <v>3</v>
      </c>
      <c r="BI51">
        <v>1</v>
      </c>
      <c r="BJ51" t="s">
        <v>5</v>
      </c>
      <c r="BM51">
        <v>0</v>
      </c>
      <c r="BN51">
        <v>0</v>
      </c>
      <c r="BO51" t="s">
        <v>5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5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5</v>
      </c>
      <c r="CO51">
        <v>0</v>
      </c>
      <c r="CP51">
        <f t="shared" si="52"/>
        <v>7269</v>
      </c>
      <c r="CQ51">
        <f t="shared" si="30"/>
        <v>289.03140000000002</v>
      </c>
      <c r="CR51">
        <f t="shared" si="31"/>
        <v>0</v>
      </c>
      <c r="CS51">
        <f t="shared" si="32"/>
        <v>0</v>
      </c>
      <c r="CT51">
        <f t="shared" si="33"/>
        <v>0</v>
      </c>
      <c r="CU51">
        <f t="shared" si="34"/>
        <v>0</v>
      </c>
      <c r="CV51">
        <f t="shared" si="35"/>
        <v>0</v>
      </c>
      <c r="CW51">
        <f t="shared" si="36"/>
        <v>0</v>
      </c>
      <c r="CX51">
        <f t="shared" si="37"/>
        <v>0</v>
      </c>
      <c r="CY51">
        <f t="shared" si="38"/>
        <v>0</v>
      </c>
      <c r="CZ51">
        <f t="shared" si="39"/>
        <v>0</v>
      </c>
      <c r="DC51" t="s">
        <v>5</v>
      </c>
      <c r="DD51" t="s">
        <v>5</v>
      </c>
      <c r="DE51" t="s">
        <v>5</v>
      </c>
      <c r="DF51" t="s">
        <v>5</v>
      </c>
      <c r="DG51" t="s">
        <v>5</v>
      </c>
      <c r="DH51" t="s">
        <v>5</v>
      </c>
      <c r="DI51" t="s">
        <v>5</v>
      </c>
      <c r="DJ51" t="s">
        <v>5</v>
      </c>
      <c r="DK51" t="s">
        <v>5</v>
      </c>
      <c r="DL51" t="s">
        <v>5</v>
      </c>
      <c r="DM51" t="s">
        <v>5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89</v>
      </c>
      <c r="DW51" t="s">
        <v>89</v>
      </c>
      <c r="DX51">
        <v>1</v>
      </c>
      <c r="EE51">
        <v>32653299</v>
      </c>
      <c r="EF51">
        <v>20</v>
      </c>
      <c r="EG51" t="s">
        <v>45</v>
      </c>
      <c r="EH51">
        <v>0</v>
      </c>
      <c r="EI51" t="s">
        <v>5</v>
      </c>
      <c r="EJ51">
        <v>1</v>
      </c>
      <c r="EK51">
        <v>0</v>
      </c>
      <c r="EL51" t="s">
        <v>46</v>
      </c>
      <c r="EM51" t="s">
        <v>47</v>
      </c>
      <c r="EO51" t="s">
        <v>5</v>
      </c>
      <c r="EQ51">
        <v>0</v>
      </c>
      <c r="ER51">
        <v>42.63</v>
      </c>
      <c r="ES51">
        <v>42.63</v>
      </c>
      <c r="ET51">
        <v>0</v>
      </c>
      <c r="EU51">
        <v>0</v>
      </c>
      <c r="EV51">
        <v>0</v>
      </c>
      <c r="EW51">
        <v>0</v>
      </c>
      <c r="EX51">
        <v>0</v>
      </c>
      <c r="EZ51">
        <v>5</v>
      </c>
      <c r="FC51">
        <v>0</v>
      </c>
      <c r="FD51">
        <v>18</v>
      </c>
      <c r="FF51">
        <v>289</v>
      </c>
      <c r="FQ51">
        <v>0</v>
      </c>
      <c r="FR51">
        <f t="shared" si="40"/>
        <v>0</v>
      </c>
      <c r="FS51">
        <v>0</v>
      </c>
      <c r="FX51">
        <v>106</v>
      </c>
      <c r="FY51">
        <v>65</v>
      </c>
      <c r="GA51" t="s">
        <v>90</v>
      </c>
      <c r="GD51">
        <v>0</v>
      </c>
      <c r="GF51">
        <v>184492587</v>
      </c>
      <c r="GG51">
        <v>1</v>
      </c>
      <c r="GH51">
        <v>3</v>
      </c>
      <c r="GI51">
        <v>4</v>
      </c>
      <c r="GJ51">
        <v>0</v>
      </c>
      <c r="GK51">
        <f>ROUND(R51*(S12)/100,0)</f>
        <v>0</v>
      </c>
      <c r="GL51">
        <f t="shared" si="41"/>
        <v>0</v>
      </c>
      <c r="GM51">
        <f t="shared" si="42"/>
        <v>7269</v>
      </c>
      <c r="GN51">
        <f t="shared" si="43"/>
        <v>7269</v>
      </c>
      <c r="GO51">
        <f t="shared" si="44"/>
        <v>0</v>
      </c>
      <c r="GP51">
        <f t="shared" si="45"/>
        <v>0</v>
      </c>
      <c r="GR51">
        <v>1</v>
      </c>
      <c r="GS51">
        <v>1</v>
      </c>
      <c r="GT51">
        <v>0</v>
      </c>
      <c r="GU51" t="s">
        <v>5</v>
      </c>
      <c r="GV51">
        <f t="shared" si="46"/>
        <v>0</v>
      </c>
      <c r="GW51">
        <v>1</v>
      </c>
      <c r="GX51">
        <f t="shared" si="47"/>
        <v>0</v>
      </c>
      <c r="HA51">
        <v>0</v>
      </c>
      <c r="HB51">
        <v>0</v>
      </c>
      <c r="IF51">
        <v>-1</v>
      </c>
      <c r="IK51">
        <v>0</v>
      </c>
    </row>
    <row r="52" spans="1:255" x14ac:dyDescent="0.2">
      <c r="A52" s="2">
        <v>18</v>
      </c>
      <c r="B52" s="2">
        <v>1</v>
      </c>
      <c r="C52" s="2">
        <v>96</v>
      </c>
      <c r="D52" s="2"/>
      <c r="E52" s="2" t="s">
        <v>91</v>
      </c>
      <c r="F52" s="2" t="str">
        <f>'1.Смета.или.Акт'!B108</f>
        <v>прайс-лист</v>
      </c>
      <c r="G52" s="2" t="str">
        <f>'1.Смета.или.Акт'!C108</f>
        <v>Грунтовка</v>
      </c>
      <c r="H52" s="2" t="s">
        <v>44</v>
      </c>
      <c r="I52" s="2">
        <f>I46*J52</f>
        <v>4.6235499999999997E-3</v>
      </c>
      <c r="J52" s="2">
        <v>8.8999999999999999E-3</v>
      </c>
      <c r="K52" s="2"/>
      <c r="L52" s="2"/>
      <c r="M52" s="2"/>
      <c r="N52" s="2"/>
      <c r="O52" s="2">
        <f t="shared" si="14"/>
        <v>43</v>
      </c>
      <c r="P52" s="2">
        <f t="shared" si="15"/>
        <v>43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34763685</v>
      </c>
      <c r="AB52" s="2">
        <f t="shared" si="48"/>
        <v>9218.2900000000009</v>
      </c>
      <c r="AC52" s="2">
        <f>'1.Смета.или.Акт'!F108</f>
        <v>9218.2900000000009</v>
      </c>
      <c r="AD52" s="2">
        <f t="shared" si="49"/>
        <v>0</v>
      </c>
      <c r="AE52" s="2">
        <f t="shared" si="50"/>
        <v>0</v>
      </c>
      <c r="AF52" s="2">
        <f t="shared" si="51"/>
        <v>0</v>
      </c>
      <c r="AG52" s="2">
        <f t="shared" si="26"/>
        <v>0</v>
      </c>
      <c r="AH52" s="2">
        <f t="shared" si="27"/>
        <v>0</v>
      </c>
      <c r="AI52" s="2">
        <f t="shared" si="28"/>
        <v>0</v>
      </c>
      <c r="AJ52" s="2">
        <f t="shared" si="29"/>
        <v>0</v>
      </c>
      <c r="AK52" s="2">
        <v>9218.2900000000009</v>
      </c>
      <c r="AL52" s="2">
        <v>9218.2900000000009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5</v>
      </c>
      <c r="BE52" s="2" t="s">
        <v>5</v>
      </c>
      <c r="BF52" s="2" t="s">
        <v>5</v>
      </c>
      <c r="BG52" s="2" t="s">
        <v>5</v>
      </c>
      <c r="BH52" s="2">
        <v>3</v>
      </c>
      <c r="BI52" s="2">
        <v>1</v>
      </c>
      <c r="BJ52" s="2" t="s">
        <v>5</v>
      </c>
      <c r="BK52" s="2"/>
      <c r="BL52" s="2"/>
      <c r="BM52" s="2">
        <v>0</v>
      </c>
      <c r="BN52" s="2">
        <v>0</v>
      </c>
      <c r="BO52" s="2" t="s">
        <v>5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5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5</v>
      </c>
      <c r="CO52" s="2">
        <v>0</v>
      </c>
      <c r="CP52" s="2">
        <f>IF('1.Смета.или.Акт'!F108=AC52+AD52+AF52,P52+Q52+S52,I52*AB52)</f>
        <v>43</v>
      </c>
      <c r="CQ52" s="2">
        <f t="shared" si="30"/>
        <v>9218.2900000000009</v>
      </c>
      <c r="CR52" s="2">
        <f t="shared" si="31"/>
        <v>0</v>
      </c>
      <c r="CS52" s="2">
        <f t="shared" si="32"/>
        <v>0</v>
      </c>
      <c r="CT52" s="2">
        <f t="shared" si="33"/>
        <v>0</v>
      </c>
      <c r="CU52" s="2">
        <f t="shared" si="34"/>
        <v>0</v>
      </c>
      <c r="CV52" s="2">
        <f t="shared" si="35"/>
        <v>0</v>
      </c>
      <c r="CW52" s="2">
        <f t="shared" si="36"/>
        <v>0</v>
      </c>
      <c r="CX52" s="2">
        <f t="shared" si="37"/>
        <v>0</v>
      </c>
      <c r="CY52" s="2">
        <f t="shared" si="38"/>
        <v>0</v>
      </c>
      <c r="CZ52" s="2">
        <f t="shared" si="39"/>
        <v>0</v>
      </c>
      <c r="DA52" s="2"/>
      <c r="DB52" s="2"/>
      <c r="DC52" s="2" t="s">
        <v>5</v>
      </c>
      <c r="DD52" s="2" t="s">
        <v>5</v>
      </c>
      <c r="DE52" s="2" t="s">
        <v>5</v>
      </c>
      <c r="DF52" s="2" t="s">
        <v>5</v>
      </c>
      <c r="DG52" s="2" t="s">
        <v>5</v>
      </c>
      <c r="DH52" s="2" t="s">
        <v>5</v>
      </c>
      <c r="DI52" s="2" t="s">
        <v>5</v>
      </c>
      <c r="DJ52" s="2" t="s">
        <v>5</v>
      </c>
      <c r="DK52" s="2" t="s">
        <v>5</v>
      </c>
      <c r="DL52" s="2" t="s">
        <v>5</v>
      </c>
      <c r="DM52" s="2" t="s">
        <v>5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44</v>
      </c>
      <c r="DW52" s="2" t="str">
        <f>'1.Смета.или.Акт'!D108</f>
        <v>т</v>
      </c>
      <c r="DX52" s="2">
        <v>1000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45</v>
      </c>
      <c r="EH52" s="2">
        <v>0</v>
      </c>
      <c r="EI52" s="2" t="s">
        <v>5</v>
      </c>
      <c r="EJ52" s="2">
        <v>1</v>
      </c>
      <c r="EK52" s="2">
        <v>0</v>
      </c>
      <c r="EL52" s="2" t="s">
        <v>46</v>
      </c>
      <c r="EM52" s="2" t="s">
        <v>47</v>
      </c>
      <c r="EN52" s="2"/>
      <c r="EO52" s="2" t="s">
        <v>5</v>
      </c>
      <c r="EP52" s="2"/>
      <c r="EQ52" s="2">
        <v>0</v>
      </c>
      <c r="ER52" s="2">
        <v>0</v>
      </c>
      <c r="ES52" s="2">
        <v>9218.2900000000009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0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93</v>
      </c>
      <c r="GB52" s="2"/>
      <c r="GC52" s="2"/>
      <c r="GD52" s="2">
        <v>0</v>
      </c>
      <c r="GE52" s="2"/>
      <c r="GF52" s="2">
        <v>1449582765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ROUND(R52*(R12)/100,0)</f>
        <v>0</v>
      </c>
      <c r="GL52" s="2">
        <f t="shared" si="41"/>
        <v>0</v>
      </c>
      <c r="GM52" s="2">
        <f t="shared" si="42"/>
        <v>43</v>
      </c>
      <c r="GN52" s="2">
        <f t="shared" si="43"/>
        <v>43</v>
      </c>
      <c r="GO52" s="2">
        <f t="shared" si="44"/>
        <v>0</v>
      </c>
      <c r="GP52" s="2">
        <f t="shared" si="45"/>
        <v>0</v>
      </c>
      <c r="GQ52" s="2"/>
      <c r="GR52" s="2">
        <v>0</v>
      </c>
      <c r="GS52" s="2">
        <v>2</v>
      </c>
      <c r="GT52" s="2">
        <v>0</v>
      </c>
      <c r="GU52" s="2" t="s">
        <v>5</v>
      </c>
      <c r="GV52" s="2">
        <f t="shared" si="46"/>
        <v>0</v>
      </c>
      <c r="GW52" s="2">
        <v>1</v>
      </c>
      <c r="GX52" s="2">
        <f t="shared" si="47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>
        <v>-1</v>
      </c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104</v>
      </c>
      <c r="E53" t="s">
        <v>91</v>
      </c>
      <c r="F53" t="s">
        <v>42</v>
      </c>
      <c r="G53" t="s">
        <v>92</v>
      </c>
      <c r="H53" t="s">
        <v>44</v>
      </c>
      <c r="I53">
        <f>I47*J53</f>
        <v>4.6235499999999997E-3</v>
      </c>
      <c r="J53">
        <v>8.8999999999999999E-3</v>
      </c>
      <c r="O53">
        <f t="shared" si="14"/>
        <v>289</v>
      </c>
      <c r="P53">
        <f t="shared" si="15"/>
        <v>289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34763707</v>
      </c>
      <c r="AB53">
        <f t="shared" si="48"/>
        <v>9218.2900000000009</v>
      </c>
      <c r="AC53">
        <f t="shared" si="25"/>
        <v>9218.2900000000009</v>
      </c>
      <c r="AD53">
        <f t="shared" si="49"/>
        <v>0</v>
      </c>
      <c r="AE53">
        <f t="shared" si="50"/>
        <v>0</v>
      </c>
      <c r="AF53">
        <f t="shared" si="51"/>
        <v>0</v>
      </c>
      <c r="AG53">
        <f t="shared" si="26"/>
        <v>0</v>
      </c>
      <c r="AH53">
        <f t="shared" si="27"/>
        <v>0</v>
      </c>
      <c r="AI53">
        <f t="shared" si="28"/>
        <v>0</v>
      </c>
      <c r="AJ53">
        <f t="shared" si="29"/>
        <v>0</v>
      </c>
      <c r="AK53">
        <v>9218.2900000000009</v>
      </c>
      <c r="AL53">
        <v>9218.2900000000009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106</v>
      </c>
      <c r="AU53">
        <v>65</v>
      </c>
      <c r="AV53">
        <v>1</v>
      </c>
      <c r="AW53">
        <v>1</v>
      </c>
      <c r="AZ53">
        <v>6.78</v>
      </c>
      <c r="BA53">
        <v>1</v>
      </c>
      <c r="BB53">
        <v>1</v>
      </c>
      <c r="BC53">
        <v>6.78</v>
      </c>
      <c r="BD53" t="s">
        <v>5</v>
      </c>
      <c r="BE53" t="s">
        <v>5</v>
      </c>
      <c r="BF53" t="s">
        <v>5</v>
      </c>
      <c r="BG53" t="s">
        <v>5</v>
      </c>
      <c r="BH53">
        <v>3</v>
      </c>
      <c r="BI53">
        <v>1</v>
      </c>
      <c r="BJ53" t="s">
        <v>5</v>
      </c>
      <c r="BM53">
        <v>0</v>
      </c>
      <c r="BN53">
        <v>0</v>
      </c>
      <c r="BO53" t="s">
        <v>5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5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5</v>
      </c>
      <c r="CO53">
        <v>0</v>
      </c>
      <c r="CP53">
        <f t="shared" si="52"/>
        <v>289</v>
      </c>
      <c r="CQ53">
        <f t="shared" si="30"/>
        <v>62500.006200000011</v>
      </c>
      <c r="CR53">
        <f t="shared" si="31"/>
        <v>0</v>
      </c>
      <c r="CS53">
        <f t="shared" si="32"/>
        <v>0</v>
      </c>
      <c r="CT53">
        <f t="shared" si="33"/>
        <v>0</v>
      </c>
      <c r="CU53">
        <f t="shared" si="34"/>
        <v>0</v>
      </c>
      <c r="CV53">
        <f t="shared" si="35"/>
        <v>0</v>
      </c>
      <c r="CW53">
        <f t="shared" si="36"/>
        <v>0</v>
      </c>
      <c r="CX53">
        <f t="shared" si="37"/>
        <v>0</v>
      </c>
      <c r="CY53">
        <f t="shared" si="38"/>
        <v>0</v>
      </c>
      <c r="CZ53">
        <f t="shared" si="39"/>
        <v>0</v>
      </c>
      <c r="DC53" t="s">
        <v>5</v>
      </c>
      <c r="DD53" t="s">
        <v>5</v>
      </c>
      <c r="DE53" t="s">
        <v>5</v>
      </c>
      <c r="DF53" t="s">
        <v>5</v>
      </c>
      <c r="DG53" t="s">
        <v>5</v>
      </c>
      <c r="DH53" t="s">
        <v>5</v>
      </c>
      <c r="DI53" t="s">
        <v>5</v>
      </c>
      <c r="DJ53" t="s">
        <v>5</v>
      </c>
      <c r="DK53" t="s">
        <v>5</v>
      </c>
      <c r="DL53" t="s">
        <v>5</v>
      </c>
      <c r="DM53" t="s">
        <v>5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44</v>
      </c>
      <c r="DW53" t="s">
        <v>44</v>
      </c>
      <c r="DX53">
        <v>1000</v>
      </c>
      <c r="EE53">
        <v>32653299</v>
      </c>
      <c r="EF53">
        <v>20</v>
      </c>
      <c r="EG53" t="s">
        <v>45</v>
      </c>
      <c r="EH53">
        <v>0</v>
      </c>
      <c r="EI53" t="s">
        <v>5</v>
      </c>
      <c r="EJ53">
        <v>1</v>
      </c>
      <c r="EK53">
        <v>0</v>
      </c>
      <c r="EL53" t="s">
        <v>46</v>
      </c>
      <c r="EM53" t="s">
        <v>47</v>
      </c>
      <c r="EO53" t="s">
        <v>5</v>
      </c>
      <c r="EQ53">
        <v>0</v>
      </c>
      <c r="ER53">
        <v>9218.2900000000009</v>
      </c>
      <c r="ES53">
        <v>9218.2900000000009</v>
      </c>
      <c r="ET53">
        <v>0</v>
      </c>
      <c r="EU53">
        <v>0</v>
      </c>
      <c r="EV53">
        <v>0</v>
      </c>
      <c r="EW53">
        <v>0</v>
      </c>
      <c r="EX53">
        <v>0</v>
      </c>
      <c r="EZ53">
        <v>5</v>
      </c>
      <c r="FC53">
        <v>0</v>
      </c>
      <c r="FD53">
        <v>18</v>
      </c>
      <c r="FF53">
        <v>62500</v>
      </c>
      <c r="FQ53">
        <v>0</v>
      </c>
      <c r="FR53">
        <f t="shared" si="40"/>
        <v>0</v>
      </c>
      <c r="FS53">
        <v>0</v>
      </c>
      <c r="FX53">
        <v>106</v>
      </c>
      <c r="FY53">
        <v>65</v>
      </c>
      <c r="GA53" t="s">
        <v>93</v>
      </c>
      <c r="GD53">
        <v>0</v>
      </c>
      <c r="GF53">
        <v>1449582765</v>
      </c>
      <c r="GG53">
        <v>1</v>
      </c>
      <c r="GH53">
        <v>3</v>
      </c>
      <c r="GI53">
        <v>4</v>
      </c>
      <c r="GJ53">
        <v>0</v>
      </c>
      <c r="GK53">
        <f>ROUND(R53*(S12)/100,0)</f>
        <v>0</v>
      </c>
      <c r="GL53">
        <f t="shared" si="41"/>
        <v>0</v>
      </c>
      <c r="GM53">
        <f t="shared" si="42"/>
        <v>289</v>
      </c>
      <c r="GN53">
        <f t="shared" si="43"/>
        <v>289</v>
      </c>
      <c r="GO53">
        <f t="shared" si="44"/>
        <v>0</v>
      </c>
      <c r="GP53">
        <f t="shared" si="45"/>
        <v>0</v>
      </c>
      <c r="GR53">
        <v>1</v>
      </c>
      <c r="GS53">
        <v>1</v>
      </c>
      <c r="GT53">
        <v>0</v>
      </c>
      <c r="GU53" t="s">
        <v>5</v>
      </c>
      <c r="GV53">
        <f t="shared" si="46"/>
        <v>0</v>
      </c>
      <c r="GW53">
        <v>1</v>
      </c>
      <c r="GX53">
        <f t="shared" si="47"/>
        <v>0</v>
      </c>
      <c r="HA53">
        <v>0</v>
      </c>
      <c r="HB53">
        <v>0</v>
      </c>
      <c r="IF53">
        <v>-1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ROW(SmtRes!A112)</f>
        <v>112</v>
      </c>
      <c r="D54" s="2">
        <f>ROW(EtalonRes!A132)</f>
        <v>132</v>
      </c>
      <c r="E54" s="2" t="s">
        <v>94</v>
      </c>
      <c r="F54" s="2" t="s">
        <v>95</v>
      </c>
      <c r="G54" s="2" t="s">
        <v>96</v>
      </c>
      <c r="H54" s="2" t="s">
        <v>15</v>
      </c>
      <c r="I54" s="2">
        <f>'1.Смета.или.Акт'!E110</f>
        <v>4.7073</v>
      </c>
      <c r="J54" s="2">
        <v>0</v>
      </c>
      <c r="K54" s="2"/>
      <c r="L54" s="2"/>
      <c r="M54" s="2"/>
      <c r="N54" s="2"/>
      <c r="O54" s="2">
        <f t="shared" si="14"/>
        <v>11931</v>
      </c>
      <c r="P54" s="2">
        <f t="shared" si="15"/>
        <v>0</v>
      </c>
      <c r="Q54" s="2">
        <f t="shared" si="16"/>
        <v>2513</v>
      </c>
      <c r="R54" s="2">
        <f t="shared" si="17"/>
        <v>989</v>
      </c>
      <c r="S54" s="2">
        <f t="shared" si="18"/>
        <v>9418</v>
      </c>
      <c r="T54" s="2">
        <f t="shared" si="19"/>
        <v>0</v>
      </c>
      <c r="U54" s="2">
        <f t="shared" si="20"/>
        <v>979.02425399999993</v>
      </c>
      <c r="V54" s="2">
        <f t="shared" si="21"/>
        <v>85.296276000000006</v>
      </c>
      <c r="W54" s="2">
        <f t="shared" si="22"/>
        <v>0</v>
      </c>
      <c r="X54" s="2">
        <f t="shared" si="23"/>
        <v>10927</v>
      </c>
      <c r="Y54" s="2">
        <f t="shared" si="24"/>
        <v>5724</v>
      </c>
      <c r="Z54" s="2"/>
      <c r="AA54" s="2">
        <v>34763685</v>
      </c>
      <c r="AB54" s="2">
        <f>'1.Смета.или.Акт'!F110</f>
        <v>2534.59</v>
      </c>
      <c r="AC54" s="2">
        <f t="shared" si="25"/>
        <v>0</v>
      </c>
      <c r="AD54" s="2">
        <f>'1.Смета.или.Акт'!H110</f>
        <v>533.82000000000005</v>
      </c>
      <c r="AE54" s="2">
        <f>'1.Смета.или.Акт'!I110</f>
        <v>210.19</v>
      </c>
      <c r="AF54" s="2">
        <f>'1.Смета.или.Акт'!G110</f>
        <v>2000.77</v>
      </c>
      <c r="AG54" s="2">
        <f t="shared" si="26"/>
        <v>0</v>
      </c>
      <c r="AH54" s="2">
        <f t="shared" si="27"/>
        <v>207.98</v>
      </c>
      <c r="AI54" s="2">
        <f t="shared" si="28"/>
        <v>18.12</v>
      </c>
      <c r="AJ54" s="2">
        <f t="shared" si="29"/>
        <v>0</v>
      </c>
      <c r="AK54" s="2">
        <v>2534.59</v>
      </c>
      <c r="AL54" s="2">
        <v>0</v>
      </c>
      <c r="AM54" s="2">
        <v>533.82000000000005</v>
      </c>
      <c r="AN54" s="2">
        <v>210.19</v>
      </c>
      <c r="AO54" s="2">
        <v>2000.77</v>
      </c>
      <c r="AP54" s="2">
        <v>0</v>
      </c>
      <c r="AQ54" s="2">
        <v>207.98</v>
      </c>
      <c r="AR54" s="2">
        <v>18.12</v>
      </c>
      <c r="AS54" s="2">
        <v>0</v>
      </c>
      <c r="AT54" s="2">
        <f>'1.Смета.или.Акт'!E111</f>
        <v>105</v>
      </c>
      <c r="AU54" s="2">
        <f>'1.Смета.или.Акт'!E112</f>
        <v>55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5</v>
      </c>
      <c r="BE54" s="2" t="s">
        <v>5</v>
      </c>
      <c r="BF54" s="2" t="s">
        <v>5</v>
      </c>
      <c r="BG54" s="2" t="s">
        <v>5</v>
      </c>
      <c r="BH54" s="2">
        <v>0</v>
      </c>
      <c r="BI54" s="2">
        <v>1</v>
      </c>
      <c r="BJ54" s="2" t="s">
        <v>97</v>
      </c>
      <c r="BK54" s="2"/>
      <c r="BL54" s="2"/>
      <c r="BM54" s="2">
        <v>15001</v>
      </c>
      <c r="BN54" s="2">
        <v>0</v>
      </c>
      <c r="BO54" s="2" t="s">
        <v>5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5</v>
      </c>
      <c r="BZ54" s="2">
        <v>105</v>
      </c>
      <c r="CA54" s="2">
        <v>55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5</v>
      </c>
      <c r="CO54" s="2">
        <v>0</v>
      </c>
      <c r="CP54" s="2">
        <f>IF('1.Смета.или.Акт'!F110=AC54+AD54+AF54,P54+Q54+S54,I54*AB54)</f>
        <v>11931</v>
      </c>
      <c r="CQ54" s="2">
        <f t="shared" si="30"/>
        <v>0</v>
      </c>
      <c r="CR54" s="2">
        <f t="shared" si="31"/>
        <v>533.82000000000005</v>
      </c>
      <c r="CS54" s="2">
        <f t="shared" si="32"/>
        <v>210.19</v>
      </c>
      <c r="CT54" s="2">
        <f t="shared" si="33"/>
        <v>2000.77</v>
      </c>
      <c r="CU54" s="2">
        <f t="shared" si="34"/>
        <v>0</v>
      </c>
      <c r="CV54" s="2">
        <f t="shared" si="35"/>
        <v>207.98</v>
      </c>
      <c r="CW54" s="2">
        <f t="shared" si="36"/>
        <v>18.12</v>
      </c>
      <c r="CX54" s="2">
        <f t="shared" si="37"/>
        <v>0</v>
      </c>
      <c r="CY54" s="2">
        <f t="shared" si="38"/>
        <v>10927.35</v>
      </c>
      <c r="CZ54" s="2">
        <f t="shared" si="39"/>
        <v>5723.85</v>
      </c>
      <c r="DA54" s="2"/>
      <c r="DB54" s="2"/>
      <c r="DC54" s="2" t="s">
        <v>5</v>
      </c>
      <c r="DD54" s="2" t="s">
        <v>5</v>
      </c>
      <c r="DE54" s="2" t="s">
        <v>5</v>
      </c>
      <c r="DF54" s="2" t="s">
        <v>5</v>
      </c>
      <c r="DG54" s="2" t="s">
        <v>5</v>
      </c>
      <c r="DH54" s="2" t="s">
        <v>5</v>
      </c>
      <c r="DI54" s="2" t="s">
        <v>5</v>
      </c>
      <c r="DJ54" s="2" t="s">
        <v>5</v>
      </c>
      <c r="DK54" s="2" t="s">
        <v>5</v>
      </c>
      <c r="DL54" s="2" t="s">
        <v>5</v>
      </c>
      <c r="DM54" s="2" t="s">
        <v>5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15</v>
      </c>
      <c r="DW54" s="2" t="str">
        <f>'1.Смета.или.Акт'!D110</f>
        <v>100 м2</v>
      </c>
      <c r="DX54" s="2">
        <v>100</v>
      </c>
      <c r="DY54" s="2"/>
      <c r="DZ54" s="2"/>
      <c r="EA54" s="2"/>
      <c r="EB54" s="2"/>
      <c r="EC54" s="2"/>
      <c r="ED54" s="2"/>
      <c r="EE54" s="2">
        <v>32653384</v>
      </c>
      <c r="EF54" s="2">
        <v>1</v>
      </c>
      <c r="EG54" s="2" t="s">
        <v>17</v>
      </c>
      <c r="EH54" s="2">
        <v>0</v>
      </c>
      <c r="EI54" s="2" t="s">
        <v>5</v>
      </c>
      <c r="EJ54" s="2">
        <v>1</v>
      </c>
      <c r="EK54" s="2">
        <v>15001</v>
      </c>
      <c r="EL54" s="2" t="s">
        <v>81</v>
      </c>
      <c r="EM54" s="2" t="s">
        <v>82</v>
      </c>
      <c r="EN54" s="2"/>
      <c r="EO54" s="2" t="s">
        <v>5</v>
      </c>
      <c r="EP54" s="2"/>
      <c r="EQ54" s="2">
        <v>0</v>
      </c>
      <c r="ER54" s="2">
        <v>2534.59</v>
      </c>
      <c r="ES54" s="2">
        <v>0</v>
      </c>
      <c r="ET54" s="2">
        <v>533.82000000000005</v>
      </c>
      <c r="EU54" s="2">
        <v>210.19</v>
      </c>
      <c r="EV54" s="2">
        <v>2000.77</v>
      </c>
      <c r="EW54" s="2">
        <v>207.98</v>
      </c>
      <c r="EX54" s="2">
        <v>18.12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0"/>
        <v>0</v>
      </c>
      <c r="FS54" s="2">
        <v>0</v>
      </c>
      <c r="FT54" s="2"/>
      <c r="FU54" s="2"/>
      <c r="FV54" s="2"/>
      <c r="FW54" s="2"/>
      <c r="FX54" s="2">
        <v>105</v>
      </c>
      <c r="FY54" s="2">
        <v>55</v>
      </c>
      <c r="FZ54" s="2"/>
      <c r="GA54" s="2" t="s">
        <v>5</v>
      </c>
      <c r="GB54" s="2"/>
      <c r="GC54" s="2"/>
      <c r="GD54" s="2">
        <v>0</v>
      </c>
      <c r="GE54" s="2"/>
      <c r="GF54" s="2">
        <v>-1332404655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1"/>
        <v>0</v>
      </c>
      <c r="GM54" s="2">
        <f t="shared" si="42"/>
        <v>28582</v>
      </c>
      <c r="GN54" s="2">
        <f t="shared" si="43"/>
        <v>28582</v>
      </c>
      <c r="GO54" s="2">
        <f t="shared" si="44"/>
        <v>0</v>
      </c>
      <c r="GP54" s="2">
        <f t="shared" si="45"/>
        <v>0</v>
      </c>
      <c r="GQ54" s="2"/>
      <c r="GR54" s="2">
        <v>0</v>
      </c>
      <c r="GS54" s="2">
        <v>3</v>
      </c>
      <c r="GT54" s="2">
        <v>0</v>
      </c>
      <c r="GU54" s="2" t="s">
        <v>5</v>
      </c>
      <c r="GV54" s="2">
        <f t="shared" si="46"/>
        <v>0</v>
      </c>
      <c r="GW54" s="2">
        <v>1</v>
      </c>
      <c r="GX54" s="2">
        <f t="shared" si="47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>
        <v>-1</v>
      </c>
      <c r="IG54" s="2"/>
      <c r="IH54" s="2"/>
      <c r="II54" s="2"/>
      <c r="IJ54" s="2"/>
      <c r="IK54" s="2">
        <v>0</v>
      </c>
      <c r="IL54" s="2" t="s">
        <v>334</v>
      </c>
      <c r="IM54" s="2">
        <v>4.7073</v>
      </c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ROW(SmtRes!A118)</f>
        <v>118</v>
      </c>
      <c r="D55">
        <f>ROW(EtalonRes!A140)</f>
        <v>140</v>
      </c>
      <c r="E55" t="s">
        <v>94</v>
      </c>
      <c r="F55" t="s">
        <v>95</v>
      </c>
      <c r="G55" t="s">
        <v>96</v>
      </c>
      <c r="H55" t="s">
        <v>15</v>
      </c>
      <c r="I55">
        <f>'1.Смета.или.Акт'!E110</f>
        <v>4.7073</v>
      </c>
      <c r="J55">
        <v>0</v>
      </c>
      <c r="O55">
        <f t="shared" si="14"/>
        <v>80893</v>
      </c>
      <c r="P55">
        <f t="shared" si="15"/>
        <v>0</v>
      </c>
      <c r="Q55">
        <f t="shared" si="16"/>
        <v>17037</v>
      </c>
      <c r="R55">
        <f t="shared" si="17"/>
        <v>6708</v>
      </c>
      <c r="S55">
        <f t="shared" si="18"/>
        <v>63856</v>
      </c>
      <c r="T55">
        <f t="shared" si="19"/>
        <v>0</v>
      </c>
      <c r="U55">
        <f t="shared" si="20"/>
        <v>979.02425399999993</v>
      </c>
      <c r="V55">
        <f t="shared" si="21"/>
        <v>85.296276000000006</v>
      </c>
      <c r="W55">
        <f t="shared" si="22"/>
        <v>0</v>
      </c>
      <c r="X55">
        <f t="shared" si="23"/>
        <v>74092</v>
      </c>
      <c r="Y55">
        <f t="shared" si="24"/>
        <v>38810</v>
      </c>
      <c r="AA55">
        <v>34763707</v>
      </c>
      <c r="AB55">
        <f t="shared" si="48"/>
        <v>2534.59</v>
      </c>
      <c r="AC55">
        <f t="shared" si="25"/>
        <v>0</v>
      </c>
      <c r="AD55">
        <f t="shared" si="49"/>
        <v>533.82000000000005</v>
      </c>
      <c r="AE55">
        <f t="shared" si="50"/>
        <v>210.19</v>
      </c>
      <c r="AF55">
        <f t="shared" si="51"/>
        <v>2000.77</v>
      </c>
      <c r="AG55">
        <f t="shared" si="26"/>
        <v>0</v>
      </c>
      <c r="AH55">
        <f t="shared" si="27"/>
        <v>207.98</v>
      </c>
      <c r="AI55">
        <f t="shared" si="28"/>
        <v>18.12</v>
      </c>
      <c r="AJ55">
        <f t="shared" si="29"/>
        <v>0</v>
      </c>
      <c r="AK55">
        <v>2534.59</v>
      </c>
      <c r="AL55">
        <v>0</v>
      </c>
      <c r="AM55">
        <v>533.82000000000005</v>
      </c>
      <c r="AN55">
        <v>210.19</v>
      </c>
      <c r="AO55">
        <v>2000.77</v>
      </c>
      <c r="AP55">
        <v>0</v>
      </c>
      <c r="AQ55">
        <v>207.98</v>
      </c>
      <c r="AR55">
        <v>18.12</v>
      </c>
      <c r="AS55">
        <v>0</v>
      </c>
      <c r="AT55">
        <v>105</v>
      </c>
      <c r="AU55">
        <v>55</v>
      </c>
      <c r="AV55">
        <v>1</v>
      </c>
      <c r="AW55">
        <v>1</v>
      </c>
      <c r="AZ55">
        <v>6.78</v>
      </c>
      <c r="BA55">
        <v>6.78</v>
      </c>
      <c r="BB55">
        <v>6.78</v>
      </c>
      <c r="BC55">
        <v>6.78</v>
      </c>
      <c r="BD55" t="s">
        <v>5</v>
      </c>
      <c r="BE55" t="s">
        <v>5</v>
      </c>
      <c r="BF55" t="s">
        <v>5</v>
      </c>
      <c r="BG55" t="s">
        <v>5</v>
      </c>
      <c r="BH55">
        <v>0</v>
      </c>
      <c r="BI55">
        <v>1</v>
      </c>
      <c r="BJ55" t="s">
        <v>97</v>
      </c>
      <c r="BM55">
        <v>15001</v>
      </c>
      <c r="BN55">
        <v>0</v>
      </c>
      <c r="BO55" t="s">
        <v>5</v>
      </c>
      <c r="BP55">
        <v>0</v>
      </c>
      <c r="BQ55">
        <v>1</v>
      </c>
      <c r="BR55">
        <v>0</v>
      </c>
      <c r="BS55">
        <v>6.78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5</v>
      </c>
      <c r="BZ55">
        <v>105</v>
      </c>
      <c r="CA55">
        <v>55</v>
      </c>
      <c r="CF55">
        <v>0</v>
      </c>
      <c r="CG55">
        <v>0</v>
      </c>
      <c r="CM55">
        <v>0</v>
      </c>
      <c r="CN55" t="s">
        <v>5</v>
      </c>
      <c r="CO55">
        <v>0</v>
      </c>
      <c r="CP55">
        <f t="shared" si="52"/>
        <v>80893</v>
      </c>
      <c r="CQ55">
        <f t="shared" si="30"/>
        <v>0</v>
      </c>
      <c r="CR55">
        <f t="shared" si="31"/>
        <v>3619.2996000000003</v>
      </c>
      <c r="CS55">
        <f t="shared" si="32"/>
        <v>1425.0882000000001</v>
      </c>
      <c r="CT55">
        <f t="shared" si="33"/>
        <v>13565.220600000001</v>
      </c>
      <c r="CU55">
        <f t="shared" si="34"/>
        <v>0</v>
      </c>
      <c r="CV55">
        <f t="shared" si="35"/>
        <v>207.98</v>
      </c>
      <c r="CW55">
        <f t="shared" si="36"/>
        <v>18.12</v>
      </c>
      <c r="CX55">
        <f t="shared" si="37"/>
        <v>0</v>
      </c>
      <c r="CY55">
        <f t="shared" si="38"/>
        <v>74092.2</v>
      </c>
      <c r="CZ55">
        <f t="shared" si="39"/>
        <v>38810.199999999997</v>
      </c>
      <c r="DC55" t="s">
        <v>5</v>
      </c>
      <c r="DD55" t="s">
        <v>5</v>
      </c>
      <c r="DE55" t="s">
        <v>5</v>
      </c>
      <c r="DF55" t="s">
        <v>5</v>
      </c>
      <c r="DG55" t="s">
        <v>5</v>
      </c>
      <c r="DH55" t="s">
        <v>5</v>
      </c>
      <c r="DI55" t="s">
        <v>5</v>
      </c>
      <c r="DJ55" t="s">
        <v>5</v>
      </c>
      <c r="DK55" t="s">
        <v>5</v>
      </c>
      <c r="DL55" t="s">
        <v>5</v>
      </c>
      <c r="DM55" t="s">
        <v>5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15</v>
      </c>
      <c r="DW55" t="s">
        <v>15</v>
      </c>
      <c r="DX55">
        <v>100</v>
      </c>
      <c r="EE55">
        <v>32653384</v>
      </c>
      <c r="EF55">
        <v>1</v>
      </c>
      <c r="EG55" t="s">
        <v>17</v>
      </c>
      <c r="EH55">
        <v>0</v>
      </c>
      <c r="EI55" t="s">
        <v>5</v>
      </c>
      <c r="EJ55">
        <v>1</v>
      </c>
      <c r="EK55">
        <v>15001</v>
      </c>
      <c r="EL55" t="s">
        <v>81</v>
      </c>
      <c r="EM55" t="s">
        <v>82</v>
      </c>
      <c r="EO55" t="s">
        <v>5</v>
      </c>
      <c r="EQ55">
        <v>0</v>
      </c>
      <c r="ER55">
        <v>2534.59</v>
      </c>
      <c r="ES55">
        <v>0</v>
      </c>
      <c r="ET55">
        <v>533.82000000000005</v>
      </c>
      <c r="EU55">
        <v>210.19</v>
      </c>
      <c r="EV55">
        <v>2000.77</v>
      </c>
      <c r="EW55">
        <v>207.98</v>
      </c>
      <c r="EX55">
        <v>18.12</v>
      </c>
      <c r="EY55">
        <v>0</v>
      </c>
      <c r="FQ55">
        <v>0</v>
      </c>
      <c r="FR55">
        <f t="shared" si="40"/>
        <v>0</v>
      </c>
      <c r="FS55">
        <v>0</v>
      </c>
      <c r="FX55">
        <v>105</v>
      </c>
      <c r="FY55">
        <v>55</v>
      </c>
      <c r="GA55" t="s">
        <v>5</v>
      </c>
      <c r="GD55">
        <v>0</v>
      </c>
      <c r="GF55">
        <v>-1332404655</v>
      </c>
      <c r="GG55">
        <v>1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1"/>
        <v>0</v>
      </c>
      <c r="GM55">
        <f t="shared" si="42"/>
        <v>193795</v>
      </c>
      <c r="GN55">
        <f t="shared" si="43"/>
        <v>193795</v>
      </c>
      <c r="GO55">
        <f t="shared" si="44"/>
        <v>0</v>
      </c>
      <c r="GP55">
        <f t="shared" si="45"/>
        <v>0</v>
      </c>
      <c r="GR55">
        <v>0</v>
      </c>
      <c r="GS55">
        <v>3</v>
      </c>
      <c r="GT55">
        <v>0</v>
      </c>
      <c r="GU55" t="s">
        <v>5</v>
      </c>
      <c r="GV55">
        <f t="shared" si="46"/>
        <v>0</v>
      </c>
      <c r="GW55">
        <v>1</v>
      </c>
      <c r="GX55">
        <f t="shared" si="47"/>
        <v>0</v>
      </c>
      <c r="HA55">
        <v>0</v>
      </c>
      <c r="HB55">
        <v>0</v>
      </c>
      <c r="IF55">
        <v>-1</v>
      </c>
      <c r="IK55">
        <v>0</v>
      </c>
      <c r="IL55" t="s">
        <v>334</v>
      </c>
      <c r="IM55">
        <v>4.7073</v>
      </c>
    </row>
    <row r="56" spans="1:255" x14ac:dyDescent="0.2">
      <c r="A56" s="2">
        <v>18</v>
      </c>
      <c r="B56" s="2">
        <v>1</v>
      </c>
      <c r="C56" s="2">
        <v>110</v>
      </c>
      <c r="D56" s="2"/>
      <c r="E56" s="2" t="s">
        <v>98</v>
      </c>
      <c r="F56" s="2" t="str">
        <f>'1.Смета.или.Акт'!B115</f>
        <v>прайс-лист</v>
      </c>
      <c r="G56" s="2" t="str">
        <f>'1.Смета.или.Акт'!C115</f>
        <v>Фасадная кассета 535*535</v>
      </c>
      <c r="H56" s="2" t="s">
        <v>85</v>
      </c>
      <c r="I56" s="2">
        <f>I54*J56</f>
        <v>484.8519</v>
      </c>
      <c r="J56" s="2">
        <v>103</v>
      </c>
      <c r="K56" s="2"/>
      <c r="L56" s="2"/>
      <c r="M56" s="2"/>
      <c r="N56" s="2"/>
      <c r="O56" s="2">
        <f t="shared" si="14"/>
        <v>44694</v>
      </c>
      <c r="P56" s="2">
        <f t="shared" si="15"/>
        <v>44694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34763685</v>
      </c>
      <c r="AB56" s="2">
        <f t="shared" si="48"/>
        <v>92.18</v>
      </c>
      <c r="AC56" s="2">
        <f>'1.Смета.или.Акт'!F115</f>
        <v>92.18</v>
      </c>
      <c r="AD56" s="2">
        <f t="shared" si="49"/>
        <v>0</v>
      </c>
      <c r="AE56" s="2">
        <f t="shared" si="50"/>
        <v>0</v>
      </c>
      <c r="AF56" s="2">
        <f t="shared" si="51"/>
        <v>0</v>
      </c>
      <c r="AG56" s="2">
        <f t="shared" si="26"/>
        <v>0</v>
      </c>
      <c r="AH56" s="2">
        <f t="shared" si="27"/>
        <v>0</v>
      </c>
      <c r="AI56" s="2">
        <f t="shared" si="28"/>
        <v>0</v>
      </c>
      <c r="AJ56" s="2">
        <f t="shared" si="29"/>
        <v>0</v>
      </c>
      <c r="AK56" s="2">
        <v>92.18</v>
      </c>
      <c r="AL56" s="2">
        <v>92.18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5</v>
      </c>
      <c r="BE56" s="2" t="s">
        <v>5</v>
      </c>
      <c r="BF56" s="2" t="s">
        <v>5</v>
      </c>
      <c r="BG56" s="2" t="s">
        <v>5</v>
      </c>
      <c r="BH56" s="2">
        <v>3</v>
      </c>
      <c r="BI56" s="2">
        <v>1</v>
      </c>
      <c r="BJ56" s="2" t="s">
        <v>5</v>
      </c>
      <c r="BK56" s="2"/>
      <c r="BL56" s="2"/>
      <c r="BM56" s="2">
        <v>0</v>
      </c>
      <c r="BN56" s="2">
        <v>0</v>
      </c>
      <c r="BO56" s="2" t="s">
        <v>5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5</v>
      </c>
      <c r="BZ56" s="2">
        <v>106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5</v>
      </c>
      <c r="CO56" s="2">
        <v>0</v>
      </c>
      <c r="CP56" s="2">
        <f>IF('1.Смета.или.Акт'!F115=AC56+AD56+AF56,P56+Q56+S56,I56*AB56)</f>
        <v>44694</v>
      </c>
      <c r="CQ56" s="2">
        <f t="shared" si="30"/>
        <v>92.18</v>
      </c>
      <c r="CR56" s="2">
        <f t="shared" si="31"/>
        <v>0</v>
      </c>
      <c r="CS56" s="2">
        <f t="shared" si="32"/>
        <v>0</v>
      </c>
      <c r="CT56" s="2">
        <f t="shared" si="33"/>
        <v>0</v>
      </c>
      <c r="CU56" s="2">
        <f t="shared" si="34"/>
        <v>0</v>
      </c>
      <c r="CV56" s="2">
        <f t="shared" si="35"/>
        <v>0</v>
      </c>
      <c r="CW56" s="2">
        <f t="shared" si="36"/>
        <v>0</v>
      </c>
      <c r="CX56" s="2">
        <f t="shared" si="37"/>
        <v>0</v>
      </c>
      <c r="CY56" s="2">
        <f t="shared" si="38"/>
        <v>0</v>
      </c>
      <c r="CZ56" s="2">
        <f t="shared" si="39"/>
        <v>0</v>
      </c>
      <c r="DA56" s="2"/>
      <c r="DB56" s="2"/>
      <c r="DC56" s="2" t="s">
        <v>5</v>
      </c>
      <c r="DD56" s="2" t="s">
        <v>5</v>
      </c>
      <c r="DE56" s="2" t="s">
        <v>5</v>
      </c>
      <c r="DF56" s="2" t="s">
        <v>5</v>
      </c>
      <c r="DG56" s="2" t="s">
        <v>5</v>
      </c>
      <c r="DH56" s="2" t="s">
        <v>5</v>
      </c>
      <c r="DI56" s="2" t="s">
        <v>5</v>
      </c>
      <c r="DJ56" s="2" t="s">
        <v>5</v>
      </c>
      <c r="DK56" s="2" t="s">
        <v>5</v>
      </c>
      <c r="DL56" s="2" t="s">
        <v>5</v>
      </c>
      <c r="DM56" s="2" t="s">
        <v>5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1005</v>
      </c>
      <c r="DV56" s="2" t="s">
        <v>85</v>
      </c>
      <c r="DW56" s="2" t="str">
        <f>'1.Смета.или.Акт'!D115</f>
        <v>м2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45</v>
      </c>
      <c r="EH56" s="2">
        <v>0</v>
      </c>
      <c r="EI56" s="2" t="s">
        <v>5</v>
      </c>
      <c r="EJ56" s="2">
        <v>1</v>
      </c>
      <c r="EK56" s="2">
        <v>0</v>
      </c>
      <c r="EL56" s="2" t="s">
        <v>46</v>
      </c>
      <c r="EM56" s="2" t="s">
        <v>47</v>
      </c>
      <c r="EN56" s="2"/>
      <c r="EO56" s="2" t="s">
        <v>5</v>
      </c>
      <c r="EP56" s="2"/>
      <c r="EQ56" s="2">
        <v>0</v>
      </c>
      <c r="ER56" s="2">
        <v>0</v>
      </c>
      <c r="ES56" s="2">
        <v>92.18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0"/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100</v>
      </c>
      <c r="GB56" s="2"/>
      <c r="GC56" s="2"/>
      <c r="GD56" s="2">
        <v>0</v>
      </c>
      <c r="GE56" s="2"/>
      <c r="GF56" s="2">
        <v>-2010186265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ROUND(R56*(R12)/100,0)</f>
        <v>0</v>
      </c>
      <c r="GL56" s="2">
        <f t="shared" si="41"/>
        <v>0</v>
      </c>
      <c r="GM56" s="2">
        <f t="shared" si="42"/>
        <v>44694</v>
      </c>
      <c r="GN56" s="2">
        <f t="shared" si="43"/>
        <v>44694</v>
      </c>
      <c r="GO56" s="2">
        <f t="shared" si="44"/>
        <v>0</v>
      </c>
      <c r="GP56" s="2">
        <f t="shared" si="45"/>
        <v>0</v>
      </c>
      <c r="GQ56" s="2"/>
      <c r="GR56" s="2">
        <v>0</v>
      </c>
      <c r="GS56" s="2">
        <v>2</v>
      </c>
      <c r="GT56" s="2">
        <v>0</v>
      </c>
      <c r="GU56" s="2" t="s">
        <v>5</v>
      </c>
      <c r="GV56" s="2">
        <f t="shared" si="46"/>
        <v>0</v>
      </c>
      <c r="GW56" s="2">
        <v>1</v>
      </c>
      <c r="GX56" s="2">
        <f t="shared" si="47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>
        <v>-1</v>
      </c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116</v>
      </c>
      <c r="E57" t="s">
        <v>98</v>
      </c>
      <c r="F57" t="s">
        <v>42</v>
      </c>
      <c r="G57" t="s">
        <v>99</v>
      </c>
      <c r="H57" t="s">
        <v>85</v>
      </c>
      <c r="I57">
        <f>I55*J57</f>
        <v>484.8519</v>
      </c>
      <c r="J57">
        <v>103</v>
      </c>
      <c r="O57">
        <f t="shared" si="14"/>
        <v>303023</v>
      </c>
      <c r="P57">
        <f t="shared" si="15"/>
        <v>303023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34763707</v>
      </c>
      <c r="AB57">
        <f t="shared" si="48"/>
        <v>92.18</v>
      </c>
      <c r="AC57">
        <f t="shared" si="25"/>
        <v>92.18</v>
      </c>
      <c r="AD57">
        <f t="shared" si="49"/>
        <v>0</v>
      </c>
      <c r="AE57">
        <f t="shared" si="50"/>
        <v>0</v>
      </c>
      <c r="AF57">
        <f t="shared" si="51"/>
        <v>0</v>
      </c>
      <c r="AG57">
        <f t="shared" si="26"/>
        <v>0</v>
      </c>
      <c r="AH57">
        <f t="shared" si="27"/>
        <v>0</v>
      </c>
      <c r="AI57">
        <f t="shared" si="28"/>
        <v>0</v>
      </c>
      <c r="AJ57">
        <f t="shared" si="29"/>
        <v>0</v>
      </c>
      <c r="AK57">
        <v>92.18</v>
      </c>
      <c r="AL57">
        <v>92.18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106</v>
      </c>
      <c r="AU57">
        <v>65</v>
      </c>
      <c r="AV57">
        <v>1</v>
      </c>
      <c r="AW57">
        <v>1</v>
      </c>
      <c r="AZ57">
        <v>6.78</v>
      </c>
      <c r="BA57">
        <v>1</v>
      </c>
      <c r="BB57">
        <v>1</v>
      </c>
      <c r="BC57">
        <v>6.78</v>
      </c>
      <c r="BD57" t="s">
        <v>5</v>
      </c>
      <c r="BE57" t="s">
        <v>5</v>
      </c>
      <c r="BF57" t="s">
        <v>5</v>
      </c>
      <c r="BG57" t="s">
        <v>5</v>
      </c>
      <c r="BH57">
        <v>3</v>
      </c>
      <c r="BI57">
        <v>1</v>
      </c>
      <c r="BJ57" t="s">
        <v>5</v>
      </c>
      <c r="BM57">
        <v>0</v>
      </c>
      <c r="BN57">
        <v>0</v>
      </c>
      <c r="BO57" t="s">
        <v>5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5</v>
      </c>
      <c r="BZ57">
        <v>106</v>
      </c>
      <c r="CA57">
        <v>65</v>
      </c>
      <c r="CF57">
        <v>0</v>
      </c>
      <c r="CG57">
        <v>0</v>
      </c>
      <c r="CM57">
        <v>0</v>
      </c>
      <c r="CN57" t="s">
        <v>5</v>
      </c>
      <c r="CO57">
        <v>0</v>
      </c>
      <c r="CP57">
        <f t="shared" si="52"/>
        <v>303023</v>
      </c>
      <c r="CQ57">
        <f t="shared" si="30"/>
        <v>624.98040000000003</v>
      </c>
      <c r="CR57">
        <f t="shared" si="31"/>
        <v>0</v>
      </c>
      <c r="CS57">
        <f t="shared" si="32"/>
        <v>0</v>
      </c>
      <c r="CT57">
        <f t="shared" si="33"/>
        <v>0</v>
      </c>
      <c r="CU57">
        <f t="shared" si="34"/>
        <v>0</v>
      </c>
      <c r="CV57">
        <f t="shared" si="35"/>
        <v>0</v>
      </c>
      <c r="CW57">
        <f t="shared" si="36"/>
        <v>0</v>
      </c>
      <c r="CX57">
        <f t="shared" si="37"/>
        <v>0</v>
      </c>
      <c r="CY57">
        <f t="shared" si="38"/>
        <v>0</v>
      </c>
      <c r="CZ57">
        <f t="shared" si="39"/>
        <v>0</v>
      </c>
      <c r="DC57" t="s">
        <v>5</v>
      </c>
      <c r="DD57" t="s">
        <v>5</v>
      </c>
      <c r="DE57" t="s">
        <v>5</v>
      </c>
      <c r="DF57" t="s">
        <v>5</v>
      </c>
      <c r="DG57" t="s">
        <v>5</v>
      </c>
      <c r="DH57" t="s">
        <v>5</v>
      </c>
      <c r="DI57" t="s">
        <v>5</v>
      </c>
      <c r="DJ57" t="s">
        <v>5</v>
      </c>
      <c r="DK57" t="s">
        <v>5</v>
      </c>
      <c r="DL57" t="s">
        <v>5</v>
      </c>
      <c r="DM57" t="s">
        <v>5</v>
      </c>
      <c r="DN57">
        <v>0</v>
      </c>
      <c r="DO57">
        <v>0</v>
      </c>
      <c r="DP57">
        <v>1</v>
      </c>
      <c r="DQ57">
        <v>1</v>
      </c>
      <c r="DU57">
        <v>1005</v>
      </c>
      <c r="DV57" t="s">
        <v>85</v>
      </c>
      <c r="DW57" t="s">
        <v>85</v>
      </c>
      <c r="DX57">
        <v>1</v>
      </c>
      <c r="EE57">
        <v>32653299</v>
      </c>
      <c r="EF57">
        <v>20</v>
      </c>
      <c r="EG57" t="s">
        <v>45</v>
      </c>
      <c r="EH57">
        <v>0</v>
      </c>
      <c r="EI57" t="s">
        <v>5</v>
      </c>
      <c r="EJ57">
        <v>1</v>
      </c>
      <c r="EK57">
        <v>0</v>
      </c>
      <c r="EL57" t="s">
        <v>46</v>
      </c>
      <c r="EM57" t="s">
        <v>47</v>
      </c>
      <c r="EO57" t="s">
        <v>5</v>
      </c>
      <c r="EQ57">
        <v>0</v>
      </c>
      <c r="ER57">
        <v>92.18</v>
      </c>
      <c r="ES57">
        <v>92.18</v>
      </c>
      <c r="ET57">
        <v>0</v>
      </c>
      <c r="EU57">
        <v>0</v>
      </c>
      <c r="EV57">
        <v>0</v>
      </c>
      <c r="EW57">
        <v>0</v>
      </c>
      <c r="EX57">
        <v>0</v>
      </c>
      <c r="EZ57">
        <v>5</v>
      </c>
      <c r="FC57">
        <v>0</v>
      </c>
      <c r="FD57">
        <v>18</v>
      </c>
      <c r="FF57">
        <v>625</v>
      </c>
      <c r="FQ57">
        <v>0</v>
      </c>
      <c r="FR57">
        <f t="shared" si="40"/>
        <v>0</v>
      </c>
      <c r="FS57">
        <v>0</v>
      </c>
      <c r="FX57">
        <v>106</v>
      </c>
      <c r="FY57">
        <v>65</v>
      </c>
      <c r="GA57" t="s">
        <v>100</v>
      </c>
      <c r="GD57">
        <v>0</v>
      </c>
      <c r="GF57">
        <v>-2010186265</v>
      </c>
      <c r="GG57">
        <v>1</v>
      </c>
      <c r="GH57">
        <v>3</v>
      </c>
      <c r="GI57">
        <v>4</v>
      </c>
      <c r="GJ57">
        <v>0</v>
      </c>
      <c r="GK57">
        <f>ROUND(R57*(S12)/100,0)</f>
        <v>0</v>
      </c>
      <c r="GL57">
        <f t="shared" si="41"/>
        <v>0</v>
      </c>
      <c r="GM57">
        <f t="shared" si="42"/>
        <v>303023</v>
      </c>
      <c r="GN57">
        <f t="shared" si="43"/>
        <v>303023</v>
      </c>
      <c r="GO57">
        <f t="shared" si="44"/>
        <v>0</v>
      </c>
      <c r="GP57">
        <f t="shared" si="45"/>
        <v>0</v>
      </c>
      <c r="GR57">
        <v>1</v>
      </c>
      <c r="GS57">
        <v>1</v>
      </c>
      <c r="GT57">
        <v>0</v>
      </c>
      <c r="GU57" t="s">
        <v>5</v>
      </c>
      <c r="GV57">
        <f t="shared" si="46"/>
        <v>0</v>
      </c>
      <c r="GW57">
        <v>1</v>
      </c>
      <c r="GX57">
        <f t="shared" si="47"/>
        <v>0</v>
      </c>
      <c r="HA57">
        <v>0</v>
      </c>
      <c r="HB57">
        <v>0</v>
      </c>
      <c r="IF57">
        <v>-1</v>
      </c>
      <c r="IK57">
        <v>0</v>
      </c>
    </row>
    <row r="58" spans="1:255" x14ac:dyDescent="0.2">
      <c r="A58" s="2">
        <v>18</v>
      </c>
      <c r="B58" s="2">
        <v>1</v>
      </c>
      <c r="C58" s="2">
        <v>111</v>
      </c>
      <c r="D58" s="2"/>
      <c r="E58" s="2" t="s">
        <v>101</v>
      </c>
      <c r="F58" s="2" t="str">
        <f>'1.Смета.или.Акт'!B117</f>
        <v>прайс-лист</v>
      </c>
      <c r="G58" s="2" t="str">
        <f>'1.Смета.или.Акт'!C117</f>
        <v>Материал гидроветрозащитный</v>
      </c>
      <c r="H58" s="2" t="s">
        <v>85</v>
      </c>
      <c r="I58" s="2">
        <f>I54*J58</f>
        <v>484.8519</v>
      </c>
      <c r="J58" s="2">
        <v>103</v>
      </c>
      <c r="K58" s="2"/>
      <c r="L58" s="2"/>
      <c r="M58" s="2"/>
      <c r="N58" s="2"/>
      <c r="O58" s="2">
        <f t="shared" si="14"/>
        <v>6899</v>
      </c>
      <c r="P58" s="2">
        <f t="shared" si="15"/>
        <v>6899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34763685</v>
      </c>
      <c r="AB58" s="2">
        <f t="shared" si="48"/>
        <v>14.23</v>
      </c>
      <c r="AC58" s="2">
        <f>'1.Смета.или.Акт'!F117</f>
        <v>14.23</v>
      </c>
      <c r="AD58" s="2">
        <f t="shared" si="49"/>
        <v>0</v>
      </c>
      <c r="AE58" s="2">
        <f t="shared" si="50"/>
        <v>0</v>
      </c>
      <c r="AF58" s="2">
        <f t="shared" si="51"/>
        <v>0</v>
      </c>
      <c r="AG58" s="2">
        <f t="shared" si="26"/>
        <v>0</v>
      </c>
      <c r="AH58" s="2">
        <f t="shared" si="27"/>
        <v>0</v>
      </c>
      <c r="AI58" s="2">
        <f t="shared" si="28"/>
        <v>0</v>
      </c>
      <c r="AJ58" s="2">
        <f t="shared" si="29"/>
        <v>0</v>
      </c>
      <c r="AK58" s="2">
        <v>14.23</v>
      </c>
      <c r="AL58" s="2">
        <v>14.23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5</v>
      </c>
      <c r="BE58" s="2" t="s">
        <v>5</v>
      </c>
      <c r="BF58" s="2" t="s">
        <v>5</v>
      </c>
      <c r="BG58" s="2" t="s">
        <v>5</v>
      </c>
      <c r="BH58" s="2">
        <v>3</v>
      </c>
      <c r="BI58" s="2">
        <v>1</v>
      </c>
      <c r="BJ58" s="2" t="s">
        <v>5</v>
      </c>
      <c r="BK58" s="2"/>
      <c r="BL58" s="2"/>
      <c r="BM58" s="2">
        <v>0</v>
      </c>
      <c r="BN58" s="2">
        <v>0</v>
      </c>
      <c r="BO58" s="2" t="s">
        <v>5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5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5</v>
      </c>
      <c r="CO58" s="2">
        <v>0</v>
      </c>
      <c r="CP58" s="2">
        <f>IF('1.Смета.или.Акт'!F117=AC58+AD58+AF58,P58+Q58+S58,I58*AB58)</f>
        <v>6899</v>
      </c>
      <c r="CQ58" s="2">
        <f t="shared" si="30"/>
        <v>14.23</v>
      </c>
      <c r="CR58" s="2">
        <f t="shared" si="31"/>
        <v>0</v>
      </c>
      <c r="CS58" s="2">
        <f t="shared" si="32"/>
        <v>0</v>
      </c>
      <c r="CT58" s="2">
        <f t="shared" si="33"/>
        <v>0</v>
      </c>
      <c r="CU58" s="2">
        <f t="shared" si="34"/>
        <v>0</v>
      </c>
      <c r="CV58" s="2">
        <f t="shared" si="35"/>
        <v>0</v>
      </c>
      <c r="CW58" s="2">
        <f t="shared" si="36"/>
        <v>0</v>
      </c>
      <c r="CX58" s="2">
        <f t="shared" si="37"/>
        <v>0</v>
      </c>
      <c r="CY58" s="2">
        <f t="shared" si="38"/>
        <v>0</v>
      </c>
      <c r="CZ58" s="2">
        <f t="shared" si="39"/>
        <v>0</v>
      </c>
      <c r="DA58" s="2"/>
      <c r="DB58" s="2"/>
      <c r="DC58" s="2" t="s">
        <v>5</v>
      </c>
      <c r="DD58" s="2" t="s">
        <v>5</v>
      </c>
      <c r="DE58" s="2" t="s">
        <v>5</v>
      </c>
      <c r="DF58" s="2" t="s">
        <v>5</v>
      </c>
      <c r="DG58" s="2" t="s">
        <v>5</v>
      </c>
      <c r="DH58" s="2" t="s">
        <v>5</v>
      </c>
      <c r="DI58" s="2" t="s">
        <v>5</v>
      </c>
      <c r="DJ58" s="2" t="s">
        <v>5</v>
      </c>
      <c r="DK58" s="2" t="s">
        <v>5</v>
      </c>
      <c r="DL58" s="2" t="s">
        <v>5</v>
      </c>
      <c r="DM58" s="2" t="s">
        <v>5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1005</v>
      </c>
      <c r="DV58" s="2" t="s">
        <v>85</v>
      </c>
      <c r="DW58" s="2" t="str">
        <f>'1.Смета.или.Акт'!D117</f>
        <v>м2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45</v>
      </c>
      <c r="EH58" s="2">
        <v>0</v>
      </c>
      <c r="EI58" s="2" t="s">
        <v>5</v>
      </c>
      <c r="EJ58" s="2">
        <v>1</v>
      </c>
      <c r="EK58" s="2">
        <v>0</v>
      </c>
      <c r="EL58" s="2" t="s">
        <v>46</v>
      </c>
      <c r="EM58" s="2" t="s">
        <v>47</v>
      </c>
      <c r="EN58" s="2"/>
      <c r="EO58" s="2" t="s">
        <v>5</v>
      </c>
      <c r="EP58" s="2"/>
      <c r="EQ58" s="2">
        <v>0</v>
      </c>
      <c r="ER58" s="2">
        <v>0</v>
      </c>
      <c r="ES58" s="2">
        <v>14.23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0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103</v>
      </c>
      <c r="GB58" s="2"/>
      <c r="GC58" s="2"/>
      <c r="GD58" s="2">
        <v>0</v>
      </c>
      <c r="GE58" s="2"/>
      <c r="GF58" s="2">
        <v>1965070701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41"/>
        <v>0</v>
      </c>
      <c r="GM58" s="2">
        <f t="shared" si="42"/>
        <v>6899</v>
      </c>
      <c r="GN58" s="2">
        <f t="shared" si="43"/>
        <v>6899</v>
      </c>
      <c r="GO58" s="2">
        <f t="shared" si="44"/>
        <v>0</v>
      </c>
      <c r="GP58" s="2">
        <f t="shared" si="45"/>
        <v>0</v>
      </c>
      <c r="GQ58" s="2"/>
      <c r="GR58" s="2">
        <v>0</v>
      </c>
      <c r="GS58" s="2">
        <v>2</v>
      </c>
      <c r="GT58" s="2">
        <v>0</v>
      </c>
      <c r="GU58" s="2" t="s">
        <v>5</v>
      </c>
      <c r="GV58" s="2">
        <f t="shared" si="46"/>
        <v>0</v>
      </c>
      <c r="GW58" s="2">
        <v>1</v>
      </c>
      <c r="GX58" s="2">
        <f t="shared" si="47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>
        <v>-1</v>
      </c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117</v>
      </c>
      <c r="E59" t="s">
        <v>101</v>
      </c>
      <c r="F59" t="s">
        <v>42</v>
      </c>
      <c r="G59" t="s">
        <v>102</v>
      </c>
      <c r="H59" t="s">
        <v>85</v>
      </c>
      <c r="I59">
        <f>I55*J59</f>
        <v>484.8519</v>
      </c>
      <c r="J59">
        <v>103</v>
      </c>
      <c r="O59">
        <f t="shared" si="14"/>
        <v>46778</v>
      </c>
      <c r="P59">
        <f t="shared" si="15"/>
        <v>46778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34763707</v>
      </c>
      <c r="AB59">
        <f t="shared" si="48"/>
        <v>14.23</v>
      </c>
      <c r="AC59">
        <f t="shared" si="25"/>
        <v>14.23</v>
      </c>
      <c r="AD59">
        <f t="shared" si="49"/>
        <v>0</v>
      </c>
      <c r="AE59">
        <f t="shared" si="50"/>
        <v>0</v>
      </c>
      <c r="AF59">
        <f t="shared" si="51"/>
        <v>0</v>
      </c>
      <c r="AG59">
        <f t="shared" si="26"/>
        <v>0</v>
      </c>
      <c r="AH59">
        <f t="shared" si="27"/>
        <v>0</v>
      </c>
      <c r="AI59">
        <f t="shared" si="28"/>
        <v>0</v>
      </c>
      <c r="AJ59">
        <f t="shared" si="29"/>
        <v>0</v>
      </c>
      <c r="AK59">
        <v>14.23</v>
      </c>
      <c r="AL59">
        <v>14.23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106</v>
      </c>
      <c r="AU59">
        <v>65</v>
      </c>
      <c r="AV59">
        <v>1</v>
      </c>
      <c r="AW59">
        <v>1</v>
      </c>
      <c r="AZ59">
        <v>6.78</v>
      </c>
      <c r="BA59">
        <v>1</v>
      </c>
      <c r="BB59">
        <v>1</v>
      </c>
      <c r="BC59">
        <v>6.78</v>
      </c>
      <c r="BD59" t="s">
        <v>5</v>
      </c>
      <c r="BE59" t="s">
        <v>5</v>
      </c>
      <c r="BF59" t="s">
        <v>5</v>
      </c>
      <c r="BG59" t="s">
        <v>5</v>
      </c>
      <c r="BH59">
        <v>3</v>
      </c>
      <c r="BI59">
        <v>1</v>
      </c>
      <c r="BJ59" t="s">
        <v>5</v>
      </c>
      <c r="BM59">
        <v>0</v>
      </c>
      <c r="BN59">
        <v>0</v>
      </c>
      <c r="BO59" t="s">
        <v>5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5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5</v>
      </c>
      <c r="CO59">
        <v>0</v>
      </c>
      <c r="CP59">
        <f t="shared" si="52"/>
        <v>46778</v>
      </c>
      <c r="CQ59">
        <f t="shared" si="30"/>
        <v>96.479400000000012</v>
      </c>
      <c r="CR59">
        <f t="shared" si="31"/>
        <v>0</v>
      </c>
      <c r="CS59">
        <f t="shared" si="32"/>
        <v>0</v>
      </c>
      <c r="CT59">
        <f t="shared" si="33"/>
        <v>0</v>
      </c>
      <c r="CU59">
        <f t="shared" si="34"/>
        <v>0</v>
      </c>
      <c r="CV59">
        <f t="shared" si="35"/>
        <v>0</v>
      </c>
      <c r="CW59">
        <f t="shared" si="36"/>
        <v>0</v>
      </c>
      <c r="CX59">
        <f t="shared" si="37"/>
        <v>0</v>
      </c>
      <c r="CY59">
        <f t="shared" si="38"/>
        <v>0</v>
      </c>
      <c r="CZ59">
        <f t="shared" si="39"/>
        <v>0</v>
      </c>
      <c r="DC59" t="s">
        <v>5</v>
      </c>
      <c r="DD59" t="s">
        <v>5</v>
      </c>
      <c r="DE59" t="s">
        <v>5</v>
      </c>
      <c r="DF59" t="s">
        <v>5</v>
      </c>
      <c r="DG59" t="s">
        <v>5</v>
      </c>
      <c r="DH59" t="s">
        <v>5</v>
      </c>
      <c r="DI59" t="s">
        <v>5</v>
      </c>
      <c r="DJ59" t="s">
        <v>5</v>
      </c>
      <c r="DK59" t="s">
        <v>5</v>
      </c>
      <c r="DL59" t="s">
        <v>5</v>
      </c>
      <c r="DM59" t="s">
        <v>5</v>
      </c>
      <c r="DN59">
        <v>0</v>
      </c>
      <c r="DO59">
        <v>0</v>
      </c>
      <c r="DP59">
        <v>1</v>
      </c>
      <c r="DQ59">
        <v>1</v>
      </c>
      <c r="DU59">
        <v>1005</v>
      </c>
      <c r="DV59" t="s">
        <v>85</v>
      </c>
      <c r="DW59" t="s">
        <v>85</v>
      </c>
      <c r="DX59">
        <v>1</v>
      </c>
      <c r="EE59">
        <v>32653299</v>
      </c>
      <c r="EF59">
        <v>20</v>
      </c>
      <c r="EG59" t="s">
        <v>45</v>
      </c>
      <c r="EH59">
        <v>0</v>
      </c>
      <c r="EI59" t="s">
        <v>5</v>
      </c>
      <c r="EJ59">
        <v>1</v>
      </c>
      <c r="EK59">
        <v>0</v>
      </c>
      <c r="EL59" t="s">
        <v>46</v>
      </c>
      <c r="EM59" t="s">
        <v>47</v>
      </c>
      <c r="EO59" t="s">
        <v>5</v>
      </c>
      <c r="EQ59">
        <v>0</v>
      </c>
      <c r="ER59">
        <v>14.23</v>
      </c>
      <c r="ES59">
        <v>14.23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96.5</v>
      </c>
      <c r="FQ59">
        <v>0</v>
      </c>
      <c r="FR59">
        <f t="shared" si="40"/>
        <v>0</v>
      </c>
      <c r="FS59">
        <v>0</v>
      </c>
      <c r="FX59">
        <v>106</v>
      </c>
      <c r="FY59">
        <v>65</v>
      </c>
      <c r="GA59" t="s">
        <v>103</v>
      </c>
      <c r="GD59">
        <v>0</v>
      </c>
      <c r="GF59">
        <v>1965070701</v>
      </c>
      <c r="GG59">
        <v>1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41"/>
        <v>0</v>
      </c>
      <c r="GM59">
        <f t="shared" si="42"/>
        <v>46778</v>
      </c>
      <c r="GN59">
        <f t="shared" si="43"/>
        <v>46778</v>
      </c>
      <c r="GO59">
        <f t="shared" si="44"/>
        <v>0</v>
      </c>
      <c r="GP59">
        <f t="shared" si="45"/>
        <v>0</v>
      </c>
      <c r="GR59">
        <v>1</v>
      </c>
      <c r="GS59">
        <v>1</v>
      </c>
      <c r="GT59">
        <v>0</v>
      </c>
      <c r="GU59" t="s">
        <v>5</v>
      </c>
      <c r="GV59">
        <f t="shared" si="46"/>
        <v>0</v>
      </c>
      <c r="GW59">
        <v>1</v>
      </c>
      <c r="GX59">
        <f t="shared" si="47"/>
        <v>0</v>
      </c>
      <c r="HA59">
        <v>0</v>
      </c>
      <c r="HB59">
        <v>0</v>
      </c>
      <c r="IF59">
        <v>-1</v>
      </c>
      <c r="IK59">
        <v>0</v>
      </c>
    </row>
    <row r="60" spans="1:255" x14ac:dyDescent="0.2">
      <c r="A60" s="2">
        <v>18</v>
      </c>
      <c r="B60" s="2">
        <v>1</v>
      </c>
      <c r="C60" s="2">
        <v>112</v>
      </c>
      <c r="D60" s="2"/>
      <c r="E60" s="2" t="s">
        <v>104</v>
      </c>
      <c r="F60" s="2" t="str">
        <f>'1.Смета.или.Акт'!B119</f>
        <v>прайс-лист</v>
      </c>
      <c r="G60" s="2" t="str">
        <f>'1.Смета.или.Акт'!C119</f>
        <v>Вентилируемая система крепления</v>
      </c>
      <c r="H60" s="2" t="s">
        <v>85</v>
      </c>
      <c r="I60" s="2">
        <f>I54*J60</f>
        <v>470.73</v>
      </c>
      <c r="J60" s="2">
        <v>100</v>
      </c>
      <c r="K60" s="2"/>
      <c r="L60" s="2"/>
      <c r="M60" s="2"/>
      <c r="N60" s="2"/>
      <c r="O60" s="2">
        <f t="shared" si="14"/>
        <v>15134</v>
      </c>
      <c r="P60" s="2">
        <f t="shared" si="15"/>
        <v>15134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34763685</v>
      </c>
      <c r="AB60" s="2">
        <f t="shared" si="48"/>
        <v>32.15</v>
      </c>
      <c r="AC60" s="2">
        <f>'1.Смета.или.Акт'!F119</f>
        <v>32.15</v>
      </c>
      <c r="AD60" s="2">
        <f t="shared" si="49"/>
        <v>0</v>
      </c>
      <c r="AE60" s="2">
        <f t="shared" si="50"/>
        <v>0</v>
      </c>
      <c r="AF60" s="2">
        <f t="shared" si="51"/>
        <v>0</v>
      </c>
      <c r="AG60" s="2">
        <f t="shared" si="26"/>
        <v>0</v>
      </c>
      <c r="AH60" s="2">
        <f t="shared" si="27"/>
        <v>0</v>
      </c>
      <c r="AI60" s="2">
        <f t="shared" si="28"/>
        <v>0</v>
      </c>
      <c r="AJ60" s="2">
        <f t="shared" si="29"/>
        <v>0</v>
      </c>
      <c r="AK60" s="2">
        <v>32.15</v>
      </c>
      <c r="AL60" s="2">
        <v>32.15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5</v>
      </c>
      <c r="BE60" s="2" t="s">
        <v>5</v>
      </c>
      <c r="BF60" s="2" t="s">
        <v>5</v>
      </c>
      <c r="BG60" s="2" t="s">
        <v>5</v>
      </c>
      <c r="BH60" s="2">
        <v>3</v>
      </c>
      <c r="BI60" s="2">
        <v>1</v>
      </c>
      <c r="BJ60" s="2" t="s">
        <v>5</v>
      </c>
      <c r="BK60" s="2"/>
      <c r="BL60" s="2"/>
      <c r="BM60" s="2">
        <v>0</v>
      </c>
      <c r="BN60" s="2">
        <v>0</v>
      </c>
      <c r="BO60" s="2" t="s">
        <v>5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5</v>
      </c>
      <c r="BZ60" s="2">
        <v>106</v>
      </c>
      <c r="CA60" s="2">
        <v>65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5</v>
      </c>
      <c r="CO60" s="2">
        <v>0</v>
      </c>
      <c r="CP60" s="2">
        <f>IF('1.Смета.или.Акт'!F119=AC60+AD60+AF60,P60+Q60+S60,I60*AB60)</f>
        <v>15134</v>
      </c>
      <c r="CQ60" s="2">
        <f t="shared" si="30"/>
        <v>32.15</v>
      </c>
      <c r="CR60" s="2">
        <f t="shared" si="31"/>
        <v>0</v>
      </c>
      <c r="CS60" s="2">
        <f t="shared" si="32"/>
        <v>0</v>
      </c>
      <c r="CT60" s="2">
        <f t="shared" si="33"/>
        <v>0</v>
      </c>
      <c r="CU60" s="2">
        <f t="shared" si="34"/>
        <v>0</v>
      </c>
      <c r="CV60" s="2">
        <f t="shared" si="35"/>
        <v>0</v>
      </c>
      <c r="CW60" s="2">
        <f t="shared" si="36"/>
        <v>0</v>
      </c>
      <c r="CX60" s="2">
        <f t="shared" si="37"/>
        <v>0</v>
      </c>
      <c r="CY60" s="2">
        <f t="shared" si="38"/>
        <v>0</v>
      </c>
      <c r="CZ60" s="2">
        <f t="shared" si="39"/>
        <v>0</v>
      </c>
      <c r="DA60" s="2"/>
      <c r="DB60" s="2"/>
      <c r="DC60" s="2" t="s">
        <v>5</v>
      </c>
      <c r="DD60" s="2" t="s">
        <v>5</v>
      </c>
      <c r="DE60" s="2" t="s">
        <v>5</v>
      </c>
      <c r="DF60" s="2" t="s">
        <v>5</v>
      </c>
      <c r="DG60" s="2" t="s">
        <v>5</v>
      </c>
      <c r="DH60" s="2" t="s">
        <v>5</v>
      </c>
      <c r="DI60" s="2" t="s">
        <v>5</v>
      </c>
      <c r="DJ60" s="2" t="s">
        <v>5</v>
      </c>
      <c r="DK60" s="2" t="s">
        <v>5</v>
      </c>
      <c r="DL60" s="2" t="s">
        <v>5</v>
      </c>
      <c r="DM60" s="2" t="s">
        <v>5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1005</v>
      </c>
      <c r="DV60" s="2" t="s">
        <v>85</v>
      </c>
      <c r="DW60" s="2" t="str">
        <f>'1.Смета.или.Акт'!D119</f>
        <v>м2</v>
      </c>
      <c r="DX60" s="2">
        <v>1</v>
      </c>
      <c r="DY60" s="2"/>
      <c r="DZ60" s="2"/>
      <c r="EA60" s="2"/>
      <c r="EB60" s="2"/>
      <c r="EC60" s="2"/>
      <c r="ED60" s="2"/>
      <c r="EE60" s="2">
        <v>32653299</v>
      </c>
      <c r="EF60" s="2">
        <v>20</v>
      </c>
      <c r="EG60" s="2" t="s">
        <v>45</v>
      </c>
      <c r="EH60" s="2">
        <v>0</v>
      </c>
      <c r="EI60" s="2" t="s">
        <v>5</v>
      </c>
      <c r="EJ60" s="2">
        <v>1</v>
      </c>
      <c r="EK60" s="2">
        <v>0</v>
      </c>
      <c r="EL60" s="2" t="s">
        <v>46</v>
      </c>
      <c r="EM60" s="2" t="s">
        <v>47</v>
      </c>
      <c r="EN60" s="2"/>
      <c r="EO60" s="2" t="s">
        <v>5</v>
      </c>
      <c r="EP60" s="2"/>
      <c r="EQ60" s="2">
        <v>0</v>
      </c>
      <c r="ER60" s="2">
        <v>0</v>
      </c>
      <c r="ES60" s="2">
        <v>32.15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0"/>
        <v>0</v>
      </c>
      <c r="FS60" s="2">
        <v>0</v>
      </c>
      <c r="FT60" s="2"/>
      <c r="FU60" s="2"/>
      <c r="FV60" s="2"/>
      <c r="FW60" s="2"/>
      <c r="FX60" s="2">
        <v>106</v>
      </c>
      <c r="FY60" s="2">
        <v>65</v>
      </c>
      <c r="FZ60" s="2"/>
      <c r="GA60" s="2" t="s">
        <v>106</v>
      </c>
      <c r="GB60" s="2"/>
      <c r="GC60" s="2"/>
      <c r="GD60" s="2">
        <v>0</v>
      </c>
      <c r="GE60" s="2"/>
      <c r="GF60" s="2">
        <v>1416793203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41"/>
        <v>0</v>
      </c>
      <c r="GM60" s="2">
        <f t="shared" si="42"/>
        <v>15134</v>
      </c>
      <c r="GN60" s="2">
        <f t="shared" si="43"/>
        <v>15134</v>
      </c>
      <c r="GO60" s="2">
        <f t="shared" si="44"/>
        <v>0</v>
      </c>
      <c r="GP60" s="2">
        <f t="shared" si="45"/>
        <v>0</v>
      </c>
      <c r="GQ60" s="2"/>
      <c r="GR60" s="2">
        <v>0</v>
      </c>
      <c r="GS60" s="2">
        <v>2</v>
      </c>
      <c r="GT60" s="2">
        <v>0</v>
      </c>
      <c r="GU60" s="2" t="s">
        <v>5</v>
      </c>
      <c r="GV60" s="2">
        <f t="shared" si="46"/>
        <v>0</v>
      </c>
      <c r="GW60" s="2">
        <v>1</v>
      </c>
      <c r="GX60" s="2">
        <f t="shared" si="47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>
        <v>-1</v>
      </c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118</v>
      </c>
      <c r="E61" t="s">
        <v>104</v>
      </c>
      <c r="F61" t="s">
        <v>42</v>
      </c>
      <c r="G61" t="s">
        <v>105</v>
      </c>
      <c r="H61" t="s">
        <v>85</v>
      </c>
      <c r="I61">
        <f>I55*J61</f>
        <v>470.73</v>
      </c>
      <c r="J61">
        <v>100</v>
      </c>
      <c r="O61">
        <f t="shared" si="14"/>
        <v>102608</v>
      </c>
      <c r="P61">
        <f t="shared" si="15"/>
        <v>102608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34763707</v>
      </c>
      <c r="AB61">
        <f t="shared" si="48"/>
        <v>32.15</v>
      </c>
      <c r="AC61">
        <f t="shared" si="25"/>
        <v>32.15</v>
      </c>
      <c r="AD61">
        <f t="shared" si="49"/>
        <v>0</v>
      </c>
      <c r="AE61">
        <f t="shared" si="50"/>
        <v>0</v>
      </c>
      <c r="AF61">
        <f t="shared" si="51"/>
        <v>0</v>
      </c>
      <c r="AG61">
        <f t="shared" si="26"/>
        <v>0</v>
      </c>
      <c r="AH61">
        <f t="shared" si="27"/>
        <v>0</v>
      </c>
      <c r="AI61">
        <f t="shared" si="28"/>
        <v>0</v>
      </c>
      <c r="AJ61">
        <f t="shared" si="29"/>
        <v>0</v>
      </c>
      <c r="AK61">
        <v>32.15</v>
      </c>
      <c r="AL61">
        <v>32.15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106</v>
      </c>
      <c r="AU61">
        <v>65</v>
      </c>
      <c r="AV61">
        <v>1</v>
      </c>
      <c r="AW61">
        <v>1</v>
      </c>
      <c r="AZ61">
        <v>6.78</v>
      </c>
      <c r="BA61">
        <v>1</v>
      </c>
      <c r="BB61">
        <v>1</v>
      </c>
      <c r="BC61">
        <v>6.78</v>
      </c>
      <c r="BD61" t="s">
        <v>5</v>
      </c>
      <c r="BE61" t="s">
        <v>5</v>
      </c>
      <c r="BF61" t="s">
        <v>5</v>
      </c>
      <c r="BG61" t="s">
        <v>5</v>
      </c>
      <c r="BH61">
        <v>3</v>
      </c>
      <c r="BI61">
        <v>1</v>
      </c>
      <c r="BJ61" t="s">
        <v>5</v>
      </c>
      <c r="BM61">
        <v>0</v>
      </c>
      <c r="BN61">
        <v>0</v>
      </c>
      <c r="BO61" t="s">
        <v>5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5</v>
      </c>
      <c r="BZ61">
        <v>106</v>
      </c>
      <c r="CA61">
        <v>65</v>
      </c>
      <c r="CF61">
        <v>0</v>
      </c>
      <c r="CG61">
        <v>0</v>
      </c>
      <c r="CM61">
        <v>0</v>
      </c>
      <c r="CN61" t="s">
        <v>5</v>
      </c>
      <c r="CO61">
        <v>0</v>
      </c>
      <c r="CP61">
        <f t="shared" si="52"/>
        <v>102608</v>
      </c>
      <c r="CQ61">
        <f t="shared" si="30"/>
        <v>217.977</v>
      </c>
      <c r="CR61">
        <f t="shared" si="31"/>
        <v>0</v>
      </c>
      <c r="CS61">
        <f t="shared" si="32"/>
        <v>0</v>
      </c>
      <c r="CT61">
        <f t="shared" si="33"/>
        <v>0</v>
      </c>
      <c r="CU61">
        <f t="shared" si="34"/>
        <v>0</v>
      </c>
      <c r="CV61">
        <f t="shared" si="35"/>
        <v>0</v>
      </c>
      <c r="CW61">
        <f t="shared" si="36"/>
        <v>0</v>
      </c>
      <c r="CX61">
        <f t="shared" si="37"/>
        <v>0</v>
      </c>
      <c r="CY61">
        <f t="shared" si="38"/>
        <v>0</v>
      </c>
      <c r="CZ61">
        <f t="shared" si="39"/>
        <v>0</v>
      </c>
      <c r="DC61" t="s">
        <v>5</v>
      </c>
      <c r="DD61" t="s">
        <v>5</v>
      </c>
      <c r="DE61" t="s">
        <v>5</v>
      </c>
      <c r="DF61" t="s">
        <v>5</v>
      </c>
      <c r="DG61" t="s">
        <v>5</v>
      </c>
      <c r="DH61" t="s">
        <v>5</v>
      </c>
      <c r="DI61" t="s">
        <v>5</v>
      </c>
      <c r="DJ61" t="s">
        <v>5</v>
      </c>
      <c r="DK61" t="s">
        <v>5</v>
      </c>
      <c r="DL61" t="s">
        <v>5</v>
      </c>
      <c r="DM61" t="s">
        <v>5</v>
      </c>
      <c r="DN61">
        <v>0</v>
      </c>
      <c r="DO61">
        <v>0</v>
      </c>
      <c r="DP61">
        <v>1</v>
      </c>
      <c r="DQ61">
        <v>1</v>
      </c>
      <c r="DU61">
        <v>1005</v>
      </c>
      <c r="DV61" t="s">
        <v>85</v>
      </c>
      <c r="DW61" t="s">
        <v>85</v>
      </c>
      <c r="DX61">
        <v>1</v>
      </c>
      <c r="EE61">
        <v>32653299</v>
      </c>
      <c r="EF61">
        <v>20</v>
      </c>
      <c r="EG61" t="s">
        <v>45</v>
      </c>
      <c r="EH61">
        <v>0</v>
      </c>
      <c r="EI61" t="s">
        <v>5</v>
      </c>
      <c r="EJ61">
        <v>1</v>
      </c>
      <c r="EK61">
        <v>0</v>
      </c>
      <c r="EL61" t="s">
        <v>46</v>
      </c>
      <c r="EM61" t="s">
        <v>47</v>
      </c>
      <c r="EO61" t="s">
        <v>5</v>
      </c>
      <c r="EQ61">
        <v>0</v>
      </c>
      <c r="ER61">
        <v>32.15</v>
      </c>
      <c r="ES61">
        <v>32.15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0</v>
      </c>
      <c r="FD61">
        <v>18</v>
      </c>
      <c r="FF61">
        <v>218</v>
      </c>
      <c r="FQ61">
        <v>0</v>
      </c>
      <c r="FR61">
        <f t="shared" si="40"/>
        <v>0</v>
      </c>
      <c r="FS61">
        <v>0</v>
      </c>
      <c r="FX61">
        <v>106</v>
      </c>
      <c r="FY61">
        <v>65</v>
      </c>
      <c r="GA61" t="s">
        <v>106</v>
      </c>
      <c r="GD61">
        <v>0</v>
      </c>
      <c r="GF61">
        <v>1416793203</v>
      </c>
      <c r="GG61">
        <v>1</v>
      </c>
      <c r="GH61">
        <v>3</v>
      </c>
      <c r="GI61">
        <v>4</v>
      </c>
      <c r="GJ61">
        <v>0</v>
      </c>
      <c r="GK61">
        <f>ROUND(R61*(S12)/100,0)</f>
        <v>0</v>
      </c>
      <c r="GL61">
        <f t="shared" si="41"/>
        <v>0</v>
      </c>
      <c r="GM61">
        <f t="shared" si="42"/>
        <v>102608</v>
      </c>
      <c r="GN61">
        <f t="shared" si="43"/>
        <v>102608</v>
      </c>
      <c r="GO61">
        <f t="shared" si="44"/>
        <v>0</v>
      </c>
      <c r="GP61">
        <f t="shared" si="45"/>
        <v>0</v>
      </c>
      <c r="GR61">
        <v>1</v>
      </c>
      <c r="GS61">
        <v>1</v>
      </c>
      <c r="GT61">
        <v>0</v>
      </c>
      <c r="GU61" t="s">
        <v>5</v>
      </c>
      <c r="GV61">
        <f t="shared" si="46"/>
        <v>0</v>
      </c>
      <c r="GW61">
        <v>1</v>
      </c>
      <c r="GX61">
        <f t="shared" si="47"/>
        <v>0</v>
      </c>
      <c r="HA61">
        <v>0</v>
      </c>
      <c r="HB61">
        <v>0</v>
      </c>
      <c r="IF61">
        <v>-1</v>
      </c>
      <c r="IK61">
        <v>0</v>
      </c>
    </row>
    <row r="62" spans="1:255" x14ac:dyDescent="0.2">
      <c r="IF62">
        <v>-1</v>
      </c>
    </row>
    <row r="63" spans="1:255" x14ac:dyDescent="0.2">
      <c r="A63" s="3">
        <v>51</v>
      </c>
      <c r="B63" s="3">
        <f>B20</f>
        <v>1</v>
      </c>
      <c r="C63" s="3">
        <f>A20</f>
        <v>3</v>
      </c>
      <c r="D63" s="3">
        <f>ROW(A20)</f>
        <v>20</v>
      </c>
      <c r="E63" s="3"/>
      <c r="F63" s="3" t="str">
        <f>IF(F20&lt;&gt;"",F20,"")</f>
        <v>Новая локальная смета</v>
      </c>
      <c r="G63" s="3" t="str">
        <f>IF(G20&lt;&gt;"",G20,"")</f>
        <v>Новая локальная смета</v>
      </c>
      <c r="H63" s="3">
        <v>0</v>
      </c>
      <c r="I63" s="3"/>
      <c r="J63" s="3"/>
      <c r="K63" s="3"/>
      <c r="L63" s="3"/>
      <c r="M63" s="3"/>
      <c r="N63" s="3"/>
      <c r="O63" s="3">
        <f t="shared" ref="O63:T63" si="53">ROUND(AB63,0)</f>
        <v>93765</v>
      </c>
      <c r="P63" s="3">
        <f t="shared" si="53"/>
        <v>74666</v>
      </c>
      <c r="Q63" s="3">
        <f t="shared" si="53"/>
        <v>2552</v>
      </c>
      <c r="R63" s="3">
        <f t="shared" si="53"/>
        <v>997</v>
      </c>
      <c r="S63" s="3">
        <f t="shared" si="53"/>
        <v>16547</v>
      </c>
      <c r="T63" s="3">
        <f t="shared" si="53"/>
        <v>0</v>
      </c>
      <c r="U63" s="3">
        <f>AH63</f>
        <v>1775.4655209999999</v>
      </c>
      <c r="V63" s="3">
        <f>AI63</f>
        <v>85.893817000000013</v>
      </c>
      <c r="W63" s="3">
        <f>ROUND(AJ63,0)</f>
        <v>0</v>
      </c>
      <c r="X63" s="3">
        <f>ROUND(AK63,0)</f>
        <v>17249</v>
      </c>
      <c r="Y63" s="3">
        <f>ROUND(AL63,0)</f>
        <v>9723</v>
      </c>
      <c r="Z63" s="3"/>
      <c r="AA63" s="3"/>
      <c r="AB63" s="3">
        <f>ROUND(SUMIF(AA24:AA61,"=34763685",O24:O61),0)</f>
        <v>93765</v>
      </c>
      <c r="AC63" s="3">
        <f>ROUND(SUMIF(AA24:AA61,"=34763685",P24:P61),0)</f>
        <v>74666</v>
      </c>
      <c r="AD63" s="3">
        <f>ROUND(SUMIF(AA24:AA61,"=34763685",Q24:Q61),0)</f>
        <v>2552</v>
      </c>
      <c r="AE63" s="3">
        <f>ROUND(SUMIF(AA24:AA61,"=34763685",R24:R61),0)</f>
        <v>997</v>
      </c>
      <c r="AF63" s="3">
        <f>ROUND(SUMIF(AA24:AA61,"=34763685",S24:S61),0)</f>
        <v>16547</v>
      </c>
      <c r="AG63" s="3">
        <f>ROUND(SUMIF(AA24:AA61,"=34763685",T24:T61),0)</f>
        <v>0</v>
      </c>
      <c r="AH63" s="3">
        <f>SUMIF(AA24:AA61,"=34763685",U24:U61)</f>
        <v>1775.4655209999999</v>
      </c>
      <c r="AI63" s="3">
        <f>SUMIF(AA24:AA61,"=34763685",V24:V61)</f>
        <v>85.893817000000013</v>
      </c>
      <c r="AJ63" s="3">
        <f>ROUND(SUMIF(AA24:AA61,"=34763685",W24:W61),0)</f>
        <v>0</v>
      </c>
      <c r="AK63" s="3">
        <f>ROUND(SUMIF(AA24:AA61,"=34763685",X24:X61),0)</f>
        <v>17249</v>
      </c>
      <c r="AL63" s="3">
        <f>ROUND(SUMIF(AA24:AA61,"=34763685",Y24:Y61),0)</f>
        <v>9723</v>
      </c>
      <c r="AM63" s="3"/>
      <c r="AN63" s="3"/>
      <c r="AO63" s="3">
        <f t="shared" ref="AO63:BC63" si="54">ROUND(BX63,0)</f>
        <v>0</v>
      </c>
      <c r="AP63" s="3">
        <f t="shared" si="54"/>
        <v>0</v>
      </c>
      <c r="AQ63" s="3">
        <f t="shared" si="54"/>
        <v>0</v>
      </c>
      <c r="AR63" s="3">
        <f t="shared" si="54"/>
        <v>120737</v>
      </c>
      <c r="AS63" s="3">
        <f t="shared" si="54"/>
        <v>120737</v>
      </c>
      <c r="AT63" s="3">
        <f t="shared" si="54"/>
        <v>0</v>
      </c>
      <c r="AU63" s="3">
        <f t="shared" si="54"/>
        <v>0</v>
      </c>
      <c r="AV63" s="3">
        <f t="shared" si="54"/>
        <v>74666</v>
      </c>
      <c r="AW63" s="3">
        <f t="shared" si="54"/>
        <v>74666</v>
      </c>
      <c r="AX63" s="3">
        <f t="shared" si="54"/>
        <v>0</v>
      </c>
      <c r="AY63" s="3">
        <f t="shared" si="54"/>
        <v>74666</v>
      </c>
      <c r="AZ63" s="3">
        <f t="shared" si="54"/>
        <v>0</v>
      </c>
      <c r="BA63" s="3">
        <f t="shared" si="54"/>
        <v>0</v>
      </c>
      <c r="BB63" s="3">
        <f t="shared" si="54"/>
        <v>0</v>
      </c>
      <c r="BC63" s="3">
        <f t="shared" si="54"/>
        <v>0</v>
      </c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>
        <f>ROUND(SUMIF(AA24:AA61,"=34763685",FQ24:FQ61),0)</f>
        <v>0</v>
      </c>
      <c r="BY63" s="3">
        <f>ROUND(SUMIF(AA24:AA61,"=34763685",FR24:FR61),0)</f>
        <v>0</v>
      </c>
      <c r="BZ63" s="3">
        <f>ROUND(SUMIF(AA24:AA61,"=34763685",GL24:GL61),0)</f>
        <v>0</v>
      </c>
      <c r="CA63" s="3">
        <f>ROUND(SUMIF(AA24:AA61,"=34763685",GM24:GM61),0)</f>
        <v>120737</v>
      </c>
      <c r="CB63" s="3">
        <f>ROUND(SUMIF(AA24:AA61,"=34763685",GN24:GN61),0)</f>
        <v>120737</v>
      </c>
      <c r="CC63" s="3">
        <f>ROUND(SUMIF(AA24:AA61,"=34763685",GO24:GO61),0)</f>
        <v>0</v>
      </c>
      <c r="CD63" s="3">
        <f>ROUND(SUMIF(AA24:AA61,"=34763685",GP24:GP61),0)</f>
        <v>0</v>
      </c>
      <c r="CE63" s="3">
        <f>AC63-BX63</f>
        <v>74666</v>
      </c>
      <c r="CF63" s="3">
        <f>AC63-BY63</f>
        <v>74666</v>
      </c>
      <c r="CG63" s="3">
        <f>BX63-BZ63</f>
        <v>0</v>
      </c>
      <c r="CH63" s="3">
        <f>AC63-BX63-BY63+BZ63</f>
        <v>74666</v>
      </c>
      <c r="CI63" s="3">
        <f>BY63-BZ63</f>
        <v>0</v>
      </c>
      <c r="CJ63" s="3">
        <f>ROUND(SUMIF(AA24:AA61,"=34763685",GX24:GX61),0)</f>
        <v>0</v>
      </c>
      <c r="CK63" s="3">
        <f>ROUND(SUMIF(AA24:AA61,"=34763685",GY24:GY61),0)</f>
        <v>0</v>
      </c>
      <c r="CL63" s="3">
        <f>ROUND(SUMIF(AA24:AA61,"=34763685",GZ24:GZ61),0)</f>
        <v>0</v>
      </c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4">
        <f t="shared" ref="DG63:DL63" si="55">ROUND(DT63,0)</f>
        <v>635727</v>
      </c>
      <c r="DH63" s="4">
        <f t="shared" si="55"/>
        <v>506233</v>
      </c>
      <c r="DI63" s="4">
        <f t="shared" si="55"/>
        <v>17309</v>
      </c>
      <c r="DJ63" s="4">
        <f t="shared" si="55"/>
        <v>6756</v>
      </c>
      <c r="DK63" s="4">
        <f t="shared" si="55"/>
        <v>112185</v>
      </c>
      <c r="DL63" s="4">
        <f t="shared" si="55"/>
        <v>0</v>
      </c>
      <c r="DM63" s="4">
        <f>DZ63</f>
        <v>1775.4655209999999</v>
      </c>
      <c r="DN63" s="4">
        <f>EA63</f>
        <v>85.893817000000013</v>
      </c>
      <c r="DO63" s="4">
        <f>ROUND(EB63,0)</f>
        <v>0</v>
      </c>
      <c r="DP63" s="4">
        <f>ROUND(EC63,0)</f>
        <v>116939</v>
      </c>
      <c r="DQ63" s="4">
        <f>ROUND(ED63,0)</f>
        <v>65911</v>
      </c>
      <c r="DR63" s="4"/>
      <c r="DS63" s="4"/>
      <c r="DT63" s="4">
        <f>ROUND(SUMIF(AA24:AA61,"=34763707",O24:O61),0)</f>
        <v>635727</v>
      </c>
      <c r="DU63" s="4">
        <f>ROUND(SUMIF(AA24:AA61,"=34763707",P24:P61),0)</f>
        <v>506233</v>
      </c>
      <c r="DV63" s="4">
        <f>ROUND(SUMIF(AA24:AA61,"=34763707",Q24:Q61),0)</f>
        <v>17309</v>
      </c>
      <c r="DW63" s="4">
        <f>ROUND(SUMIF(AA24:AA61,"=34763707",R24:R61),0)</f>
        <v>6756</v>
      </c>
      <c r="DX63" s="4">
        <f>ROUND(SUMIF(AA24:AA61,"=34763707",S24:S61),0)</f>
        <v>112185</v>
      </c>
      <c r="DY63" s="4">
        <f>ROUND(SUMIF(AA24:AA61,"=34763707",T24:T61),0)</f>
        <v>0</v>
      </c>
      <c r="DZ63" s="4">
        <f>SUMIF(AA24:AA61,"=34763707",U24:U61)</f>
        <v>1775.4655209999999</v>
      </c>
      <c r="EA63" s="4">
        <f>SUMIF(AA24:AA61,"=34763707",V24:V61)</f>
        <v>85.893817000000013</v>
      </c>
      <c r="EB63" s="4">
        <f>ROUND(SUMIF(AA24:AA61,"=34763707",W24:W61),0)</f>
        <v>0</v>
      </c>
      <c r="EC63" s="4">
        <f>ROUND(SUMIF(AA24:AA61,"=34763707",X24:X61),0)</f>
        <v>116939</v>
      </c>
      <c r="ED63" s="4">
        <f>ROUND(SUMIF(AA24:AA61,"=34763707",Y24:Y61),0)</f>
        <v>65911</v>
      </c>
      <c r="EE63" s="4"/>
      <c r="EF63" s="4"/>
      <c r="EG63" s="4">
        <f t="shared" ref="EG63:EU63" si="56">ROUND(FP63,0)</f>
        <v>0</v>
      </c>
      <c r="EH63" s="4">
        <f t="shared" si="56"/>
        <v>0</v>
      </c>
      <c r="EI63" s="4">
        <f t="shared" si="56"/>
        <v>0</v>
      </c>
      <c r="EJ63" s="4">
        <f t="shared" si="56"/>
        <v>818577</v>
      </c>
      <c r="EK63" s="4">
        <f t="shared" si="56"/>
        <v>818577</v>
      </c>
      <c r="EL63" s="4">
        <f t="shared" si="56"/>
        <v>0</v>
      </c>
      <c r="EM63" s="4">
        <f t="shared" si="56"/>
        <v>0</v>
      </c>
      <c r="EN63" s="4">
        <f t="shared" si="56"/>
        <v>506233</v>
      </c>
      <c r="EO63" s="4">
        <f t="shared" si="56"/>
        <v>506233</v>
      </c>
      <c r="EP63" s="4">
        <f t="shared" si="56"/>
        <v>0</v>
      </c>
      <c r="EQ63" s="4">
        <f t="shared" si="56"/>
        <v>506233</v>
      </c>
      <c r="ER63" s="4">
        <f t="shared" si="56"/>
        <v>0</v>
      </c>
      <c r="ES63" s="4">
        <f t="shared" si="56"/>
        <v>0</v>
      </c>
      <c r="ET63" s="4">
        <f t="shared" si="56"/>
        <v>0</v>
      </c>
      <c r="EU63" s="4">
        <f t="shared" si="56"/>
        <v>0</v>
      </c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>
        <f>ROUND(SUMIF(AA24:AA61,"=34763707",FQ24:FQ61),0)</f>
        <v>0</v>
      </c>
      <c r="FQ63" s="4">
        <f>ROUND(SUMIF(AA24:AA61,"=34763707",FR24:FR61),0)</f>
        <v>0</v>
      </c>
      <c r="FR63" s="4">
        <f>ROUND(SUMIF(AA24:AA61,"=34763707",GL24:GL61),0)</f>
        <v>0</v>
      </c>
      <c r="FS63" s="4">
        <f>ROUND(SUMIF(AA24:AA61,"=34763707",GM24:GM61),0)</f>
        <v>818577</v>
      </c>
      <c r="FT63" s="4">
        <f>ROUND(SUMIF(AA24:AA61,"=34763707",GN24:GN61),0)</f>
        <v>818577</v>
      </c>
      <c r="FU63" s="4">
        <f>ROUND(SUMIF(AA24:AA61,"=34763707",GO24:GO61),0)</f>
        <v>0</v>
      </c>
      <c r="FV63" s="4">
        <f>ROUND(SUMIF(AA24:AA61,"=34763707",GP24:GP61),0)</f>
        <v>0</v>
      </c>
      <c r="FW63" s="4">
        <f>DU63-FP63</f>
        <v>506233</v>
      </c>
      <c r="FX63" s="4">
        <f>DU63-FQ63</f>
        <v>506233</v>
      </c>
      <c r="FY63" s="4">
        <f>FP63-FR63</f>
        <v>0</v>
      </c>
      <c r="FZ63" s="4">
        <f>DU63-FP63-FQ63+FR63</f>
        <v>506233</v>
      </c>
      <c r="GA63" s="4">
        <f>FQ63-FR63</f>
        <v>0</v>
      </c>
      <c r="GB63" s="4">
        <f>ROUND(SUMIF(AA24:AA61,"=34763707",GX24:GX61),0)</f>
        <v>0</v>
      </c>
      <c r="GC63" s="4">
        <f>ROUND(SUMIF(AA24:AA61,"=34763707",GY24:GY61),0)</f>
        <v>0</v>
      </c>
      <c r="GD63" s="4">
        <f>ROUND(SUMIF(AA24:AA61,"=34763707",GZ24:GZ61),0)</f>
        <v>0</v>
      </c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>
        <v>0</v>
      </c>
      <c r="IF63">
        <v>-1</v>
      </c>
    </row>
    <row r="64" spans="1:255" x14ac:dyDescent="0.2">
      <c r="IF64">
        <v>-1</v>
      </c>
    </row>
    <row r="65" spans="1:240" x14ac:dyDescent="0.2">
      <c r="A65" s="5">
        <v>50</v>
      </c>
      <c r="B65" s="5">
        <v>0</v>
      </c>
      <c r="C65" s="5">
        <v>0</v>
      </c>
      <c r="D65" s="5">
        <v>1</v>
      </c>
      <c r="E65" s="5">
        <v>201</v>
      </c>
      <c r="F65" s="5">
        <f>ROUND(Source!O63,O65)</f>
        <v>93765</v>
      </c>
      <c r="G65" s="5" t="s">
        <v>107</v>
      </c>
      <c r="H65" s="5" t="s">
        <v>108</v>
      </c>
      <c r="I65" s="5"/>
      <c r="J65" s="5"/>
      <c r="K65" s="5">
        <v>201</v>
      </c>
      <c r="L65" s="5">
        <v>1</v>
      </c>
      <c r="M65" s="5">
        <v>3</v>
      </c>
      <c r="N65" s="5" t="s">
        <v>5</v>
      </c>
      <c r="O65" s="5">
        <v>0</v>
      </c>
      <c r="P65" s="5">
        <f>ROUND(Source!DG63,O65)</f>
        <v>635727</v>
      </c>
      <c r="Q65" s="5"/>
      <c r="R65" s="5"/>
      <c r="S65" s="5"/>
      <c r="T65" s="5"/>
      <c r="U65" s="5"/>
      <c r="V65" s="5"/>
      <c r="W65" s="5"/>
      <c r="IF65">
        <v>-1</v>
      </c>
    </row>
    <row r="66" spans="1:240" x14ac:dyDescent="0.2">
      <c r="A66" s="5">
        <v>50</v>
      </c>
      <c r="B66" s="5">
        <v>0</v>
      </c>
      <c r="C66" s="5">
        <v>0</v>
      </c>
      <c r="D66" s="5">
        <v>1</v>
      </c>
      <c r="E66" s="5">
        <v>202</v>
      </c>
      <c r="F66" s="5">
        <f>ROUND(Source!P63,O66)</f>
        <v>74666</v>
      </c>
      <c r="G66" s="5" t="s">
        <v>109</v>
      </c>
      <c r="H66" s="5" t="s">
        <v>110</v>
      </c>
      <c r="I66" s="5"/>
      <c r="J66" s="5"/>
      <c r="K66" s="5">
        <v>202</v>
      </c>
      <c r="L66" s="5">
        <v>2</v>
      </c>
      <c r="M66" s="5">
        <v>3</v>
      </c>
      <c r="N66" s="5" t="s">
        <v>5</v>
      </c>
      <c r="O66" s="5">
        <v>0</v>
      </c>
      <c r="P66" s="5">
        <f>ROUND(Source!DH63,O66)</f>
        <v>506233</v>
      </c>
      <c r="Q66" s="5"/>
      <c r="R66" s="5"/>
      <c r="S66" s="5"/>
      <c r="T66" s="5"/>
      <c r="U66" s="5"/>
      <c r="V66" s="5"/>
      <c r="W66" s="5"/>
      <c r="IF66">
        <v>-1</v>
      </c>
    </row>
    <row r="67" spans="1:240" x14ac:dyDescent="0.2">
      <c r="A67" s="5">
        <v>50</v>
      </c>
      <c r="B67" s="5">
        <v>0</v>
      </c>
      <c r="C67" s="5">
        <v>0</v>
      </c>
      <c r="D67" s="5">
        <v>1</v>
      </c>
      <c r="E67" s="5">
        <v>222</v>
      </c>
      <c r="F67" s="5">
        <f>ROUND(Source!AO63,O67)</f>
        <v>0</v>
      </c>
      <c r="G67" s="5" t="s">
        <v>111</v>
      </c>
      <c r="H67" s="5" t="s">
        <v>112</v>
      </c>
      <c r="I67" s="5"/>
      <c r="J67" s="5"/>
      <c r="K67" s="5">
        <v>222</v>
      </c>
      <c r="L67" s="5">
        <v>3</v>
      </c>
      <c r="M67" s="5">
        <v>3</v>
      </c>
      <c r="N67" s="5" t="s">
        <v>5</v>
      </c>
      <c r="O67" s="5">
        <v>0</v>
      </c>
      <c r="P67" s="5">
        <f>ROUND(Source!EG63,O67)</f>
        <v>0</v>
      </c>
      <c r="Q67" s="5"/>
      <c r="R67" s="5"/>
      <c r="S67" s="5"/>
      <c r="T67" s="5"/>
      <c r="U67" s="5"/>
      <c r="V67" s="5"/>
      <c r="W67" s="5"/>
      <c r="IF67">
        <v>-1</v>
      </c>
    </row>
    <row r="68" spans="1:240" x14ac:dyDescent="0.2">
      <c r="A68" s="5">
        <v>50</v>
      </c>
      <c r="B68" s="5">
        <v>0</v>
      </c>
      <c r="C68" s="5">
        <v>0</v>
      </c>
      <c r="D68" s="5">
        <v>1</v>
      </c>
      <c r="E68" s="5">
        <v>225</v>
      </c>
      <c r="F68" s="5">
        <f>ROUND(Source!AV63,O68)</f>
        <v>74666</v>
      </c>
      <c r="G68" s="5" t="s">
        <v>113</v>
      </c>
      <c r="H68" s="5" t="s">
        <v>114</v>
      </c>
      <c r="I68" s="5"/>
      <c r="J68" s="5"/>
      <c r="K68" s="5">
        <v>225</v>
      </c>
      <c r="L68" s="5">
        <v>4</v>
      </c>
      <c r="M68" s="5">
        <v>3</v>
      </c>
      <c r="N68" s="5" t="s">
        <v>5</v>
      </c>
      <c r="O68" s="5">
        <v>0</v>
      </c>
      <c r="P68" s="5">
        <f>ROUND(Source!EN63,O68)</f>
        <v>506233</v>
      </c>
      <c r="Q68" s="5"/>
      <c r="R68" s="5"/>
      <c r="S68" s="5"/>
      <c r="T68" s="5"/>
      <c r="U68" s="5"/>
      <c r="V68" s="5"/>
      <c r="W68" s="5"/>
      <c r="IF68">
        <v>-1</v>
      </c>
    </row>
    <row r="69" spans="1:240" x14ac:dyDescent="0.2">
      <c r="A69" s="5">
        <v>50</v>
      </c>
      <c r="B69" s="5">
        <v>0</v>
      </c>
      <c r="C69" s="5">
        <v>0</v>
      </c>
      <c r="D69" s="5">
        <v>1</v>
      </c>
      <c r="E69" s="5">
        <v>226</v>
      </c>
      <c r="F69" s="5">
        <f>ROUND(Source!AW63,O69)</f>
        <v>74666</v>
      </c>
      <c r="G69" s="5" t="s">
        <v>115</v>
      </c>
      <c r="H69" s="5" t="s">
        <v>116</v>
      </c>
      <c r="I69" s="5"/>
      <c r="J69" s="5"/>
      <c r="K69" s="5">
        <v>226</v>
      </c>
      <c r="L69" s="5">
        <v>5</v>
      </c>
      <c r="M69" s="5">
        <v>3</v>
      </c>
      <c r="N69" s="5" t="s">
        <v>5</v>
      </c>
      <c r="O69" s="5">
        <v>0</v>
      </c>
      <c r="P69" s="5">
        <f>ROUND(Source!EO63,O69)</f>
        <v>506233</v>
      </c>
      <c r="Q69" s="5"/>
      <c r="R69" s="5"/>
      <c r="S69" s="5"/>
      <c r="T69" s="5"/>
      <c r="U69" s="5"/>
      <c r="V69" s="5"/>
      <c r="W69" s="5"/>
      <c r="IF69">
        <v>-1</v>
      </c>
    </row>
    <row r="70" spans="1:240" x14ac:dyDescent="0.2">
      <c r="A70" s="5">
        <v>50</v>
      </c>
      <c r="B70" s="5">
        <v>0</v>
      </c>
      <c r="C70" s="5">
        <v>0</v>
      </c>
      <c r="D70" s="5">
        <v>1</v>
      </c>
      <c r="E70" s="5">
        <v>227</v>
      </c>
      <c r="F70" s="5">
        <f>ROUND(Source!AX63,O70)</f>
        <v>0</v>
      </c>
      <c r="G70" s="5" t="s">
        <v>117</v>
      </c>
      <c r="H70" s="5" t="s">
        <v>118</v>
      </c>
      <c r="I70" s="5"/>
      <c r="J70" s="5"/>
      <c r="K70" s="5">
        <v>227</v>
      </c>
      <c r="L70" s="5">
        <v>6</v>
      </c>
      <c r="M70" s="5">
        <v>3</v>
      </c>
      <c r="N70" s="5" t="s">
        <v>5</v>
      </c>
      <c r="O70" s="5">
        <v>0</v>
      </c>
      <c r="P70" s="5">
        <f>ROUND(Source!EP63,O70)</f>
        <v>0</v>
      </c>
      <c r="Q70" s="5"/>
      <c r="R70" s="5"/>
      <c r="S70" s="5"/>
      <c r="T70" s="5"/>
      <c r="U70" s="5"/>
      <c r="V70" s="5"/>
      <c r="W70" s="5"/>
      <c r="IF70">
        <v>-1</v>
      </c>
    </row>
    <row r="71" spans="1:240" x14ac:dyDescent="0.2">
      <c r="A71" s="5">
        <v>50</v>
      </c>
      <c r="B71" s="5">
        <v>0</v>
      </c>
      <c r="C71" s="5">
        <v>0</v>
      </c>
      <c r="D71" s="5">
        <v>1</v>
      </c>
      <c r="E71" s="5">
        <v>228</v>
      </c>
      <c r="F71" s="5">
        <f>ROUND(Source!AY63,O71)</f>
        <v>74666</v>
      </c>
      <c r="G71" s="5" t="s">
        <v>119</v>
      </c>
      <c r="H71" s="5" t="s">
        <v>120</v>
      </c>
      <c r="I71" s="5"/>
      <c r="J71" s="5"/>
      <c r="K71" s="5">
        <v>228</v>
      </c>
      <c r="L71" s="5">
        <v>7</v>
      </c>
      <c r="M71" s="5">
        <v>3</v>
      </c>
      <c r="N71" s="5" t="s">
        <v>5</v>
      </c>
      <c r="O71" s="5">
        <v>0</v>
      </c>
      <c r="P71" s="5">
        <f>ROUND(Source!EQ63,O71)</f>
        <v>506233</v>
      </c>
      <c r="Q71" s="5"/>
      <c r="R71" s="5"/>
      <c r="S71" s="5"/>
      <c r="T71" s="5"/>
      <c r="U71" s="5"/>
      <c r="V71" s="5"/>
      <c r="W71" s="5"/>
      <c r="IF71">
        <v>-1</v>
      </c>
    </row>
    <row r="72" spans="1:240" x14ac:dyDescent="0.2">
      <c r="A72" s="5">
        <v>50</v>
      </c>
      <c r="B72" s="5">
        <v>0</v>
      </c>
      <c r="C72" s="5">
        <v>0</v>
      </c>
      <c r="D72" s="5">
        <v>1</v>
      </c>
      <c r="E72" s="5">
        <v>216</v>
      </c>
      <c r="F72" s="5">
        <f>ROUND(Source!AP63,O72)</f>
        <v>0</v>
      </c>
      <c r="G72" s="5" t="s">
        <v>121</v>
      </c>
      <c r="H72" s="5" t="s">
        <v>122</v>
      </c>
      <c r="I72" s="5"/>
      <c r="J72" s="5"/>
      <c r="K72" s="5">
        <v>216</v>
      </c>
      <c r="L72" s="5">
        <v>8</v>
      </c>
      <c r="M72" s="5">
        <v>3</v>
      </c>
      <c r="N72" s="5" t="s">
        <v>5</v>
      </c>
      <c r="O72" s="5">
        <v>0</v>
      </c>
      <c r="P72" s="5">
        <f>ROUND(Source!EH63,O72)</f>
        <v>0</v>
      </c>
      <c r="Q72" s="5"/>
      <c r="R72" s="5"/>
      <c r="S72" s="5"/>
      <c r="T72" s="5"/>
      <c r="U72" s="5"/>
      <c r="V72" s="5"/>
      <c r="W72" s="5"/>
      <c r="IF72">
        <v>-1</v>
      </c>
    </row>
    <row r="73" spans="1:240" x14ac:dyDescent="0.2">
      <c r="A73" s="5">
        <v>50</v>
      </c>
      <c r="B73" s="5">
        <v>0</v>
      </c>
      <c r="C73" s="5">
        <v>0</v>
      </c>
      <c r="D73" s="5">
        <v>1</v>
      </c>
      <c r="E73" s="5">
        <v>223</v>
      </c>
      <c r="F73" s="5">
        <f>ROUND(Source!AQ63,O73)</f>
        <v>0</v>
      </c>
      <c r="G73" s="5" t="s">
        <v>123</v>
      </c>
      <c r="H73" s="5" t="s">
        <v>124</v>
      </c>
      <c r="I73" s="5"/>
      <c r="J73" s="5"/>
      <c r="K73" s="5">
        <v>223</v>
      </c>
      <c r="L73" s="5">
        <v>9</v>
      </c>
      <c r="M73" s="5">
        <v>3</v>
      </c>
      <c r="N73" s="5" t="s">
        <v>5</v>
      </c>
      <c r="O73" s="5">
        <v>0</v>
      </c>
      <c r="P73" s="5">
        <f>ROUND(Source!EI63,O73)</f>
        <v>0</v>
      </c>
      <c r="Q73" s="5"/>
      <c r="R73" s="5"/>
      <c r="S73" s="5"/>
      <c r="T73" s="5"/>
      <c r="U73" s="5"/>
      <c r="V73" s="5"/>
      <c r="W73" s="5"/>
      <c r="IF73">
        <v>-1</v>
      </c>
    </row>
    <row r="74" spans="1:240" x14ac:dyDescent="0.2">
      <c r="A74" s="5">
        <v>50</v>
      </c>
      <c r="B74" s="5">
        <v>0</v>
      </c>
      <c r="C74" s="5">
        <v>0</v>
      </c>
      <c r="D74" s="5">
        <v>1</v>
      </c>
      <c r="E74" s="5">
        <v>229</v>
      </c>
      <c r="F74" s="5">
        <f>ROUND(Source!AZ63,O74)</f>
        <v>0</v>
      </c>
      <c r="G74" s="5" t="s">
        <v>125</v>
      </c>
      <c r="H74" s="5" t="s">
        <v>126</v>
      </c>
      <c r="I74" s="5"/>
      <c r="J74" s="5"/>
      <c r="K74" s="5">
        <v>229</v>
      </c>
      <c r="L74" s="5">
        <v>10</v>
      </c>
      <c r="M74" s="5">
        <v>3</v>
      </c>
      <c r="N74" s="5" t="s">
        <v>5</v>
      </c>
      <c r="O74" s="5">
        <v>0</v>
      </c>
      <c r="P74" s="5">
        <f>ROUND(Source!ER63,O74)</f>
        <v>0</v>
      </c>
      <c r="Q74" s="5"/>
      <c r="R74" s="5"/>
      <c r="S74" s="5"/>
      <c r="T74" s="5"/>
      <c r="U74" s="5"/>
      <c r="V74" s="5"/>
      <c r="W74" s="5"/>
      <c r="IF74">
        <v>-1</v>
      </c>
    </row>
    <row r="75" spans="1:240" x14ac:dyDescent="0.2">
      <c r="A75" s="5">
        <v>50</v>
      </c>
      <c r="B75" s="5">
        <v>0</v>
      </c>
      <c r="C75" s="5">
        <v>0</v>
      </c>
      <c r="D75" s="5">
        <v>1</v>
      </c>
      <c r="E75" s="5">
        <v>203</v>
      </c>
      <c r="F75" s="5">
        <f>ROUND(Source!Q63,O75)</f>
        <v>2552</v>
      </c>
      <c r="G75" s="5" t="s">
        <v>127</v>
      </c>
      <c r="H75" s="5" t="s">
        <v>128</v>
      </c>
      <c r="I75" s="5"/>
      <c r="J75" s="5"/>
      <c r="K75" s="5">
        <v>203</v>
      </c>
      <c r="L75" s="5">
        <v>11</v>
      </c>
      <c r="M75" s="5">
        <v>3</v>
      </c>
      <c r="N75" s="5" t="s">
        <v>5</v>
      </c>
      <c r="O75" s="5">
        <v>0</v>
      </c>
      <c r="P75" s="5">
        <f>ROUND(Source!DI63,O75)</f>
        <v>17309</v>
      </c>
      <c r="Q75" s="5"/>
      <c r="R75" s="5"/>
      <c r="S75" s="5"/>
      <c r="T75" s="5"/>
      <c r="U75" s="5"/>
      <c r="V75" s="5"/>
      <c r="W75" s="5"/>
      <c r="IF75">
        <v>-1</v>
      </c>
    </row>
    <row r="76" spans="1:240" x14ac:dyDescent="0.2">
      <c r="A76" s="5">
        <v>50</v>
      </c>
      <c r="B76" s="5">
        <v>0</v>
      </c>
      <c r="C76" s="5">
        <v>0</v>
      </c>
      <c r="D76" s="5">
        <v>1</v>
      </c>
      <c r="E76" s="5">
        <v>231</v>
      </c>
      <c r="F76" s="5">
        <f>ROUND(Source!BB63,O76)</f>
        <v>0</v>
      </c>
      <c r="G76" s="5" t="s">
        <v>129</v>
      </c>
      <c r="H76" s="5" t="s">
        <v>130</v>
      </c>
      <c r="I76" s="5"/>
      <c r="J76" s="5"/>
      <c r="K76" s="5">
        <v>231</v>
      </c>
      <c r="L76" s="5">
        <v>12</v>
      </c>
      <c r="M76" s="5">
        <v>3</v>
      </c>
      <c r="N76" s="5" t="s">
        <v>5</v>
      </c>
      <c r="O76" s="5">
        <v>0</v>
      </c>
      <c r="P76" s="5">
        <f>ROUND(Source!ET63,O76)</f>
        <v>0</v>
      </c>
      <c r="Q76" s="5"/>
      <c r="R76" s="5"/>
      <c r="S76" s="5"/>
      <c r="T76" s="5"/>
      <c r="U76" s="5"/>
      <c r="V76" s="5"/>
      <c r="W76" s="5"/>
      <c r="IF76">
        <v>-1</v>
      </c>
    </row>
    <row r="77" spans="1:240" x14ac:dyDescent="0.2">
      <c r="A77" s="5">
        <v>50</v>
      </c>
      <c r="B77" s="5">
        <v>0</v>
      </c>
      <c r="C77" s="5">
        <v>0</v>
      </c>
      <c r="D77" s="5">
        <v>1</v>
      </c>
      <c r="E77" s="5">
        <v>204</v>
      </c>
      <c r="F77" s="5">
        <f>ROUND(Source!R63,O77)</f>
        <v>997</v>
      </c>
      <c r="G77" s="5" t="s">
        <v>131</v>
      </c>
      <c r="H77" s="5" t="s">
        <v>132</v>
      </c>
      <c r="I77" s="5"/>
      <c r="J77" s="5"/>
      <c r="K77" s="5">
        <v>204</v>
      </c>
      <c r="L77" s="5">
        <v>13</v>
      </c>
      <c r="M77" s="5">
        <v>3</v>
      </c>
      <c r="N77" s="5" t="s">
        <v>5</v>
      </c>
      <c r="O77" s="5">
        <v>0</v>
      </c>
      <c r="P77" s="5">
        <f>ROUND(Source!DJ63,O77)</f>
        <v>6756</v>
      </c>
      <c r="Q77" s="5"/>
      <c r="R77" s="5"/>
      <c r="S77" s="5"/>
      <c r="T77" s="5"/>
      <c r="U77" s="5"/>
      <c r="V77" s="5"/>
      <c r="W77" s="5"/>
      <c r="IF77">
        <v>-1</v>
      </c>
    </row>
    <row r="78" spans="1:240" x14ac:dyDescent="0.2">
      <c r="A78" s="5">
        <v>50</v>
      </c>
      <c r="B78" s="5">
        <v>0</v>
      </c>
      <c r="C78" s="5">
        <v>0</v>
      </c>
      <c r="D78" s="5">
        <v>1</v>
      </c>
      <c r="E78" s="5">
        <v>205</v>
      </c>
      <c r="F78" s="5">
        <f>ROUND(Source!S63,O78)</f>
        <v>16547</v>
      </c>
      <c r="G78" s="5" t="s">
        <v>133</v>
      </c>
      <c r="H78" s="5" t="s">
        <v>134</v>
      </c>
      <c r="I78" s="5"/>
      <c r="J78" s="5"/>
      <c r="K78" s="5">
        <v>205</v>
      </c>
      <c r="L78" s="5">
        <v>14</v>
      </c>
      <c r="M78" s="5">
        <v>3</v>
      </c>
      <c r="N78" s="5" t="s">
        <v>5</v>
      </c>
      <c r="O78" s="5">
        <v>0</v>
      </c>
      <c r="P78" s="5">
        <f>ROUND(Source!DK63,O78)</f>
        <v>112185</v>
      </c>
      <c r="Q78" s="5"/>
      <c r="R78" s="5"/>
      <c r="S78" s="5"/>
      <c r="T78" s="5"/>
      <c r="U78" s="5"/>
      <c r="V78" s="5"/>
      <c r="W78" s="5"/>
      <c r="IF78">
        <v>-1</v>
      </c>
    </row>
    <row r="79" spans="1:240" x14ac:dyDescent="0.2">
      <c r="A79" s="5">
        <v>50</v>
      </c>
      <c r="B79" s="5">
        <v>0</v>
      </c>
      <c r="C79" s="5">
        <v>0</v>
      </c>
      <c r="D79" s="5">
        <v>1</v>
      </c>
      <c r="E79" s="5">
        <v>232</v>
      </c>
      <c r="F79" s="5">
        <f>ROUND(Source!BC63,O79)</f>
        <v>0</v>
      </c>
      <c r="G79" s="5" t="s">
        <v>135</v>
      </c>
      <c r="H79" s="5" t="s">
        <v>136</v>
      </c>
      <c r="I79" s="5"/>
      <c r="J79" s="5"/>
      <c r="K79" s="5">
        <v>232</v>
      </c>
      <c r="L79" s="5">
        <v>15</v>
      </c>
      <c r="M79" s="5">
        <v>3</v>
      </c>
      <c r="N79" s="5" t="s">
        <v>5</v>
      </c>
      <c r="O79" s="5">
        <v>0</v>
      </c>
      <c r="P79" s="5">
        <f>ROUND(Source!EU63,O79)</f>
        <v>0</v>
      </c>
      <c r="Q79" s="5"/>
      <c r="R79" s="5"/>
      <c r="S79" s="5"/>
      <c r="T79" s="5"/>
      <c r="U79" s="5"/>
      <c r="V79" s="5"/>
      <c r="W79" s="5"/>
      <c r="IF79">
        <v>-1</v>
      </c>
    </row>
    <row r="80" spans="1:240" x14ac:dyDescent="0.2">
      <c r="A80" s="5">
        <v>50</v>
      </c>
      <c r="B80" s="5">
        <v>0</v>
      </c>
      <c r="C80" s="5">
        <v>0</v>
      </c>
      <c r="D80" s="5">
        <v>1</v>
      </c>
      <c r="E80" s="5">
        <v>214</v>
      </c>
      <c r="F80" s="5">
        <f>ROUND(Source!AS63,O80)</f>
        <v>120737</v>
      </c>
      <c r="G80" s="5" t="s">
        <v>137</v>
      </c>
      <c r="H80" s="5" t="s">
        <v>138</v>
      </c>
      <c r="I80" s="5"/>
      <c r="J80" s="5"/>
      <c r="K80" s="5">
        <v>214</v>
      </c>
      <c r="L80" s="5">
        <v>16</v>
      </c>
      <c r="M80" s="5">
        <v>3</v>
      </c>
      <c r="N80" s="5" t="s">
        <v>5</v>
      </c>
      <c r="O80" s="5">
        <v>0</v>
      </c>
      <c r="P80" s="5">
        <f>ROUND(Source!EK63,O80)</f>
        <v>818577</v>
      </c>
      <c r="Q80" s="5"/>
      <c r="R80" s="5"/>
      <c r="S80" s="5"/>
      <c r="T80" s="5"/>
      <c r="U80" s="5"/>
      <c r="V80" s="5"/>
      <c r="W80" s="5"/>
      <c r="IF80">
        <v>-1</v>
      </c>
    </row>
    <row r="81" spans="1:240" x14ac:dyDescent="0.2">
      <c r="A81" s="5">
        <v>50</v>
      </c>
      <c r="B81" s="5">
        <v>0</v>
      </c>
      <c r="C81" s="5">
        <v>0</v>
      </c>
      <c r="D81" s="5">
        <v>1</v>
      </c>
      <c r="E81" s="5">
        <v>215</v>
      </c>
      <c r="F81" s="5">
        <f>ROUND(Source!AT63,O81)</f>
        <v>0</v>
      </c>
      <c r="G81" s="5" t="s">
        <v>139</v>
      </c>
      <c r="H81" s="5" t="s">
        <v>140</v>
      </c>
      <c r="I81" s="5"/>
      <c r="J81" s="5"/>
      <c r="K81" s="5">
        <v>215</v>
      </c>
      <c r="L81" s="5">
        <v>17</v>
      </c>
      <c r="M81" s="5">
        <v>3</v>
      </c>
      <c r="N81" s="5" t="s">
        <v>5</v>
      </c>
      <c r="O81" s="5">
        <v>0</v>
      </c>
      <c r="P81" s="5">
        <f>ROUND(Source!EL63,O81)</f>
        <v>0</v>
      </c>
      <c r="Q81" s="5"/>
      <c r="R81" s="5"/>
      <c r="S81" s="5"/>
      <c r="T81" s="5"/>
      <c r="U81" s="5"/>
      <c r="V81" s="5"/>
      <c r="W81" s="5"/>
      <c r="IF81">
        <v>-1</v>
      </c>
    </row>
    <row r="82" spans="1:240" x14ac:dyDescent="0.2">
      <c r="A82" s="5">
        <v>50</v>
      </c>
      <c r="B82" s="5">
        <v>0</v>
      </c>
      <c r="C82" s="5">
        <v>0</v>
      </c>
      <c r="D82" s="5">
        <v>1</v>
      </c>
      <c r="E82" s="5">
        <v>217</v>
      </c>
      <c r="F82" s="5">
        <f>ROUND(Source!AU63,O82)</f>
        <v>0</v>
      </c>
      <c r="G82" s="5" t="s">
        <v>141</v>
      </c>
      <c r="H82" s="5" t="s">
        <v>142</v>
      </c>
      <c r="I82" s="5"/>
      <c r="J82" s="5"/>
      <c r="K82" s="5">
        <v>217</v>
      </c>
      <c r="L82" s="5">
        <v>18</v>
      </c>
      <c r="M82" s="5">
        <v>3</v>
      </c>
      <c r="N82" s="5" t="s">
        <v>5</v>
      </c>
      <c r="O82" s="5">
        <v>0</v>
      </c>
      <c r="P82" s="5">
        <f>ROUND(Source!EM63,O82)</f>
        <v>0</v>
      </c>
      <c r="Q82" s="5"/>
      <c r="R82" s="5"/>
      <c r="S82" s="5"/>
      <c r="T82" s="5"/>
      <c r="U82" s="5"/>
      <c r="V82" s="5"/>
      <c r="W82" s="5"/>
      <c r="IF82">
        <v>-1</v>
      </c>
    </row>
    <row r="83" spans="1:240" x14ac:dyDescent="0.2">
      <c r="A83" s="5">
        <v>50</v>
      </c>
      <c r="B83" s="5">
        <v>0</v>
      </c>
      <c r="C83" s="5">
        <v>0</v>
      </c>
      <c r="D83" s="5">
        <v>1</v>
      </c>
      <c r="E83" s="5">
        <v>230</v>
      </c>
      <c r="F83" s="5">
        <f>ROUND(Source!BA63,O83)</f>
        <v>0</v>
      </c>
      <c r="G83" s="5" t="s">
        <v>143</v>
      </c>
      <c r="H83" s="5" t="s">
        <v>144</v>
      </c>
      <c r="I83" s="5"/>
      <c r="J83" s="5"/>
      <c r="K83" s="5">
        <v>230</v>
      </c>
      <c r="L83" s="5">
        <v>19</v>
      </c>
      <c r="M83" s="5">
        <v>3</v>
      </c>
      <c r="N83" s="5" t="s">
        <v>5</v>
      </c>
      <c r="O83" s="5">
        <v>0</v>
      </c>
      <c r="P83" s="5">
        <f>ROUND(Source!ES63,O83)</f>
        <v>0</v>
      </c>
      <c r="Q83" s="5"/>
      <c r="R83" s="5"/>
      <c r="S83" s="5"/>
      <c r="T83" s="5"/>
      <c r="U83" s="5"/>
      <c r="V83" s="5"/>
      <c r="W83" s="5"/>
      <c r="IF83">
        <v>-1</v>
      </c>
    </row>
    <row r="84" spans="1:240" x14ac:dyDescent="0.2">
      <c r="A84" s="5">
        <v>50</v>
      </c>
      <c r="B84" s="5">
        <v>0</v>
      </c>
      <c r="C84" s="5">
        <v>0</v>
      </c>
      <c r="D84" s="5">
        <v>1</v>
      </c>
      <c r="E84" s="5">
        <v>206</v>
      </c>
      <c r="F84" s="5">
        <f>ROUND(Source!T63,O84)</f>
        <v>0</v>
      </c>
      <c r="G84" s="5" t="s">
        <v>145</v>
      </c>
      <c r="H84" s="5" t="s">
        <v>146</v>
      </c>
      <c r="I84" s="5"/>
      <c r="J84" s="5"/>
      <c r="K84" s="5">
        <v>206</v>
      </c>
      <c r="L84" s="5">
        <v>20</v>
      </c>
      <c r="M84" s="5">
        <v>3</v>
      </c>
      <c r="N84" s="5" t="s">
        <v>5</v>
      </c>
      <c r="O84" s="5">
        <v>0</v>
      </c>
      <c r="P84" s="5">
        <f>ROUND(Source!DL63,O84)</f>
        <v>0</v>
      </c>
      <c r="Q84" s="5"/>
      <c r="R84" s="5"/>
      <c r="S84" s="5"/>
      <c r="T84" s="5"/>
      <c r="U84" s="5"/>
      <c r="V84" s="5"/>
      <c r="W84" s="5"/>
      <c r="IF84">
        <v>-1</v>
      </c>
    </row>
    <row r="85" spans="1:240" x14ac:dyDescent="0.2">
      <c r="A85" s="5">
        <v>50</v>
      </c>
      <c r="B85" s="5">
        <v>0</v>
      </c>
      <c r="C85" s="5">
        <v>0</v>
      </c>
      <c r="D85" s="5">
        <v>1</v>
      </c>
      <c r="E85" s="5">
        <v>207</v>
      </c>
      <c r="F85" s="5">
        <f>Source!U63</f>
        <v>1775.4655209999999</v>
      </c>
      <c r="G85" s="5" t="s">
        <v>147</v>
      </c>
      <c r="H85" s="5" t="s">
        <v>148</v>
      </c>
      <c r="I85" s="5"/>
      <c r="J85" s="5"/>
      <c r="K85" s="5">
        <v>207</v>
      </c>
      <c r="L85" s="5">
        <v>21</v>
      </c>
      <c r="M85" s="5">
        <v>3</v>
      </c>
      <c r="N85" s="5" t="s">
        <v>5</v>
      </c>
      <c r="O85" s="5">
        <v>-1</v>
      </c>
      <c r="P85" s="5">
        <f>Source!DM63</f>
        <v>1775.4655209999999</v>
      </c>
      <c r="Q85" s="5"/>
      <c r="R85" s="5"/>
      <c r="S85" s="5"/>
      <c r="T85" s="5"/>
      <c r="U85" s="5"/>
      <c r="V85" s="5"/>
      <c r="W85" s="5"/>
      <c r="IF85">
        <v>-1</v>
      </c>
    </row>
    <row r="86" spans="1:240" x14ac:dyDescent="0.2">
      <c r="A86" s="5">
        <v>50</v>
      </c>
      <c r="B86" s="5">
        <v>0</v>
      </c>
      <c r="C86" s="5">
        <v>0</v>
      </c>
      <c r="D86" s="5">
        <v>1</v>
      </c>
      <c r="E86" s="5">
        <v>208</v>
      </c>
      <c r="F86" s="5">
        <f>Source!V63</f>
        <v>85.893817000000013</v>
      </c>
      <c r="G86" s="5" t="s">
        <v>149</v>
      </c>
      <c r="H86" s="5" t="s">
        <v>150</v>
      </c>
      <c r="I86" s="5"/>
      <c r="J86" s="5"/>
      <c r="K86" s="5">
        <v>208</v>
      </c>
      <c r="L86" s="5">
        <v>22</v>
      </c>
      <c r="M86" s="5">
        <v>3</v>
      </c>
      <c r="N86" s="5" t="s">
        <v>5</v>
      </c>
      <c r="O86" s="5">
        <v>-1</v>
      </c>
      <c r="P86" s="5">
        <f>Source!DN63</f>
        <v>85.893817000000013</v>
      </c>
      <c r="Q86" s="5"/>
      <c r="R86" s="5"/>
      <c r="S86" s="5"/>
      <c r="T86" s="5"/>
      <c r="U86" s="5"/>
      <c r="V86" s="5"/>
      <c r="W86" s="5"/>
      <c r="IF86">
        <v>-1</v>
      </c>
    </row>
    <row r="87" spans="1:240" x14ac:dyDescent="0.2">
      <c r="A87" s="5">
        <v>50</v>
      </c>
      <c r="B87" s="5">
        <v>0</v>
      </c>
      <c r="C87" s="5">
        <v>0</v>
      </c>
      <c r="D87" s="5">
        <v>1</v>
      </c>
      <c r="E87" s="5">
        <v>209</v>
      </c>
      <c r="F87" s="5">
        <f>ROUND(Source!W63,O87)</f>
        <v>0</v>
      </c>
      <c r="G87" s="5" t="s">
        <v>151</v>
      </c>
      <c r="H87" s="5" t="s">
        <v>152</v>
      </c>
      <c r="I87" s="5"/>
      <c r="J87" s="5"/>
      <c r="K87" s="5">
        <v>209</v>
      </c>
      <c r="L87" s="5">
        <v>23</v>
      </c>
      <c r="M87" s="5">
        <v>3</v>
      </c>
      <c r="N87" s="5" t="s">
        <v>5</v>
      </c>
      <c r="O87" s="5">
        <v>0</v>
      </c>
      <c r="P87" s="5">
        <f>ROUND(Source!DO63,O87)</f>
        <v>0</v>
      </c>
      <c r="Q87" s="5"/>
      <c r="R87" s="5"/>
      <c r="S87" s="5"/>
      <c r="T87" s="5"/>
      <c r="U87" s="5"/>
      <c r="V87" s="5"/>
      <c r="W87" s="5"/>
      <c r="IF87">
        <v>-1</v>
      </c>
    </row>
    <row r="88" spans="1:240" x14ac:dyDescent="0.2">
      <c r="A88" s="5">
        <v>50</v>
      </c>
      <c r="B88" s="5">
        <v>0</v>
      </c>
      <c r="C88" s="5">
        <v>0</v>
      </c>
      <c r="D88" s="5">
        <v>1</v>
      </c>
      <c r="E88" s="5">
        <v>210</v>
      </c>
      <c r="F88" s="5">
        <f>ROUND(Source!X63,O88)</f>
        <v>17249</v>
      </c>
      <c r="G88" s="5" t="s">
        <v>153</v>
      </c>
      <c r="H88" s="5" t="s">
        <v>154</v>
      </c>
      <c r="I88" s="5"/>
      <c r="J88" s="5"/>
      <c r="K88" s="5">
        <v>210</v>
      </c>
      <c r="L88" s="5">
        <v>24</v>
      </c>
      <c r="M88" s="5">
        <v>3</v>
      </c>
      <c r="N88" s="5" t="s">
        <v>5</v>
      </c>
      <c r="O88" s="5">
        <v>0</v>
      </c>
      <c r="P88" s="5">
        <f>ROUND(Source!DP63,O88)</f>
        <v>116939</v>
      </c>
      <c r="Q88" s="5"/>
      <c r="R88" s="5"/>
      <c r="S88" s="5"/>
      <c r="T88" s="5"/>
      <c r="U88" s="5"/>
      <c r="V88" s="5"/>
      <c r="W88" s="5"/>
      <c r="IF88">
        <v>-1</v>
      </c>
    </row>
    <row r="89" spans="1:240" x14ac:dyDescent="0.2">
      <c r="A89" s="5">
        <v>50</v>
      </c>
      <c r="B89" s="5">
        <v>0</v>
      </c>
      <c r="C89" s="5">
        <v>0</v>
      </c>
      <c r="D89" s="5">
        <v>1</v>
      </c>
      <c r="E89" s="5">
        <v>211</v>
      </c>
      <c r="F89" s="5">
        <f>ROUND(Source!Y63,O89)</f>
        <v>9723</v>
      </c>
      <c r="G89" s="5" t="s">
        <v>155</v>
      </c>
      <c r="H89" s="5" t="s">
        <v>156</v>
      </c>
      <c r="I89" s="5"/>
      <c r="J89" s="5"/>
      <c r="K89" s="5">
        <v>211</v>
      </c>
      <c r="L89" s="5">
        <v>25</v>
      </c>
      <c r="M89" s="5">
        <v>3</v>
      </c>
      <c r="N89" s="5" t="s">
        <v>5</v>
      </c>
      <c r="O89" s="5">
        <v>0</v>
      </c>
      <c r="P89" s="5">
        <f>ROUND(Source!DQ63,O89)</f>
        <v>65911</v>
      </c>
      <c r="Q89" s="5"/>
      <c r="R89" s="5"/>
      <c r="S89" s="5"/>
      <c r="T89" s="5"/>
      <c r="U89" s="5"/>
      <c r="V89" s="5"/>
      <c r="W89" s="5"/>
      <c r="IF89">
        <v>-1</v>
      </c>
    </row>
    <row r="90" spans="1:240" x14ac:dyDescent="0.2">
      <c r="A90" s="5">
        <v>50</v>
      </c>
      <c r="B90" s="5">
        <v>0</v>
      </c>
      <c r="C90" s="5">
        <v>0</v>
      </c>
      <c r="D90" s="5">
        <v>1</v>
      </c>
      <c r="E90" s="5">
        <v>224</v>
      </c>
      <c r="F90" s="5">
        <f>ROUND(Source!AR63,O90)</f>
        <v>120737</v>
      </c>
      <c r="G90" s="5" t="s">
        <v>157</v>
      </c>
      <c r="H90" s="5" t="s">
        <v>158</v>
      </c>
      <c r="I90" s="5"/>
      <c r="J90" s="5"/>
      <c r="K90" s="5">
        <v>224</v>
      </c>
      <c r="L90" s="5">
        <v>26</v>
      </c>
      <c r="M90" s="5">
        <v>3</v>
      </c>
      <c r="N90" s="5" t="s">
        <v>5</v>
      </c>
      <c r="O90" s="5">
        <v>0</v>
      </c>
      <c r="P90" s="5">
        <f>ROUND(Source!EJ63,O90)</f>
        <v>818577</v>
      </c>
      <c r="Q90" s="5"/>
      <c r="R90" s="5"/>
      <c r="S90" s="5"/>
      <c r="T90" s="5"/>
      <c r="U90" s="5"/>
      <c r="V90" s="5"/>
      <c r="W90" s="5"/>
      <c r="IF90">
        <v>-1</v>
      </c>
    </row>
    <row r="91" spans="1:240" x14ac:dyDescent="0.2">
      <c r="IF91">
        <v>-1</v>
      </c>
    </row>
    <row r="92" spans="1:240" x14ac:dyDescent="0.2">
      <c r="A92" s="3">
        <v>51</v>
      </c>
      <c r="B92" s="3">
        <f>B12</f>
        <v>155</v>
      </c>
      <c r="C92" s="3">
        <f>A12</f>
        <v>1</v>
      </c>
      <c r="D92" s="3">
        <f>ROW(A12)</f>
        <v>12</v>
      </c>
      <c r="E92" s="3"/>
      <c r="F92" s="3" t="str">
        <f>IF(F12&lt;&gt;"",F12,"")</f>
        <v>Новый объект</v>
      </c>
      <c r="G92" s="3" t="str">
        <f>IF(G12&lt;&gt;"",G12,"")</f>
        <v>Новый объект</v>
      </c>
      <c r="H92" s="3">
        <v>0</v>
      </c>
      <c r="I92" s="3"/>
      <c r="J92" s="3"/>
      <c r="K92" s="3"/>
      <c r="L92" s="3"/>
      <c r="M92" s="3"/>
      <c r="N92" s="3"/>
      <c r="O92" s="3">
        <f t="shared" ref="O92:T92" si="57">ROUND(O63,0)</f>
        <v>93765</v>
      </c>
      <c r="P92" s="3">
        <f t="shared" si="57"/>
        <v>74666</v>
      </c>
      <c r="Q92" s="3">
        <f t="shared" si="57"/>
        <v>2552</v>
      </c>
      <c r="R92" s="3">
        <f t="shared" si="57"/>
        <v>997</v>
      </c>
      <c r="S92" s="3">
        <f t="shared" si="57"/>
        <v>16547</v>
      </c>
      <c r="T92" s="3">
        <f t="shared" si="57"/>
        <v>0</v>
      </c>
      <c r="U92" s="3">
        <f>U63</f>
        <v>1775.4655209999999</v>
      </c>
      <c r="V92" s="3">
        <f>V63</f>
        <v>85.893817000000013</v>
      </c>
      <c r="W92" s="3">
        <f>ROUND(W63,0)</f>
        <v>0</v>
      </c>
      <c r="X92" s="3">
        <f>ROUND(X63,0)</f>
        <v>17249</v>
      </c>
      <c r="Y92" s="3">
        <f>ROUND(Y63,0)</f>
        <v>9723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>
        <f t="shared" ref="AO92:BC92" si="58">ROUND(AO63,0)</f>
        <v>0</v>
      </c>
      <c r="AP92" s="3">
        <f t="shared" si="58"/>
        <v>0</v>
      </c>
      <c r="AQ92" s="3">
        <f t="shared" si="58"/>
        <v>0</v>
      </c>
      <c r="AR92" s="3">
        <f t="shared" si="58"/>
        <v>120737</v>
      </c>
      <c r="AS92" s="3">
        <f t="shared" si="58"/>
        <v>120737</v>
      </c>
      <c r="AT92" s="3">
        <f t="shared" si="58"/>
        <v>0</v>
      </c>
      <c r="AU92" s="3">
        <f t="shared" si="58"/>
        <v>0</v>
      </c>
      <c r="AV92" s="3">
        <f t="shared" si="58"/>
        <v>74666</v>
      </c>
      <c r="AW92" s="3">
        <f t="shared" si="58"/>
        <v>74666</v>
      </c>
      <c r="AX92" s="3">
        <f t="shared" si="58"/>
        <v>0</v>
      </c>
      <c r="AY92" s="3">
        <f t="shared" si="58"/>
        <v>74666</v>
      </c>
      <c r="AZ92" s="3">
        <f t="shared" si="58"/>
        <v>0</v>
      </c>
      <c r="BA92" s="3">
        <f t="shared" si="58"/>
        <v>0</v>
      </c>
      <c r="BB92" s="3">
        <f t="shared" si="58"/>
        <v>0</v>
      </c>
      <c r="BC92" s="3">
        <f t="shared" si="58"/>
        <v>0</v>
      </c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4">
        <f t="shared" ref="DG92:DL92" si="59">ROUND(DG63,0)</f>
        <v>635727</v>
      </c>
      <c r="DH92" s="4">
        <f t="shared" si="59"/>
        <v>506233</v>
      </c>
      <c r="DI92" s="4">
        <f t="shared" si="59"/>
        <v>17309</v>
      </c>
      <c r="DJ92" s="4">
        <f t="shared" si="59"/>
        <v>6756</v>
      </c>
      <c r="DK92" s="4">
        <f t="shared" si="59"/>
        <v>112185</v>
      </c>
      <c r="DL92" s="4">
        <f t="shared" si="59"/>
        <v>0</v>
      </c>
      <c r="DM92" s="4">
        <f>DM63</f>
        <v>1775.4655209999999</v>
      </c>
      <c r="DN92" s="4">
        <f>DN63</f>
        <v>85.893817000000013</v>
      </c>
      <c r="DO92" s="4">
        <f>ROUND(DO63,0)</f>
        <v>0</v>
      </c>
      <c r="DP92" s="4">
        <f>ROUND(DP63,0)</f>
        <v>116939</v>
      </c>
      <c r="DQ92" s="4">
        <f>ROUND(DQ63,0)</f>
        <v>65911</v>
      </c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>
        <f t="shared" ref="EG92:EU92" si="60">ROUND(EG63,0)</f>
        <v>0</v>
      </c>
      <c r="EH92" s="4">
        <f t="shared" si="60"/>
        <v>0</v>
      </c>
      <c r="EI92" s="4">
        <f t="shared" si="60"/>
        <v>0</v>
      </c>
      <c r="EJ92" s="4">
        <f t="shared" si="60"/>
        <v>818577</v>
      </c>
      <c r="EK92" s="4">
        <f t="shared" si="60"/>
        <v>818577</v>
      </c>
      <c r="EL92" s="4">
        <f t="shared" si="60"/>
        <v>0</v>
      </c>
      <c r="EM92" s="4">
        <f t="shared" si="60"/>
        <v>0</v>
      </c>
      <c r="EN92" s="4">
        <f t="shared" si="60"/>
        <v>506233</v>
      </c>
      <c r="EO92" s="4">
        <f t="shared" si="60"/>
        <v>506233</v>
      </c>
      <c r="EP92" s="4">
        <f t="shared" si="60"/>
        <v>0</v>
      </c>
      <c r="EQ92" s="4">
        <f t="shared" si="60"/>
        <v>506233</v>
      </c>
      <c r="ER92" s="4">
        <f t="shared" si="60"/>
        <v>0</v>
      </c>
      <c r="ES92" s="4">
        <f t="shared" si="60"/>
        <v>0</v>
      </c>
      <c r="ET92" s="4">
        <f t="shared" si="60"/>
        <v>0</v>
      </c>
      <c r="EU92" s="4">
        <f t="shared" si="60"/>
        <v>0</v>
      </c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>
        <v>0</v>
      </c>
      <c r="IF92">
        <v>-1</v>
      </c>
    </row>
    <row r="93" spans="1:240" x14ac:dyDescent="0.2">
      <c r="IF93">
        <v>-1</v>
      </c>
    </row>
    <row r="94" spans="1:240" x14ac:dyDescent="0.2">
      <c r="A94" s="5">
        <v>50</v>
      </c>
      <c r="B94" s="5">
        <v>0</v>
      </c>
      <c r="C94" s="5">
        <v>0</v>
      </c>
      <c r="D94" s="5">
        <v>1</v>
      </c>
      <c r="E94" s="5">
        <v>201</v>
      </c>
      <c r="F94" s="5">
        <f>ROUND(Source!O92,O94)</f>
        <v>93765</v>
      </c>
      <c r="G94" s="5" t="s">
        <v>107</v>
      </c>
      <c r="H94" s="5" t="s">
        <v>108</v>
      </c>
      <c r="I94" s="5"/>
      <c r="J94" s="5"/>
      <c r="K94" s="5">
        <v>201</v>
      </c>
      <c r="L94" s="5">
        <v>1</v>
      </c>
      <c r="M94" s="5">
        <v>3</v>
      </c>
      <c r="N94" s="5" t="s">
        <v>5</v>
      </c>
      <c r="O94" s="5">
        <v>0</v>
      </c>
      <c r="P94" s="5">
        <f>ROUND(Source!DG92,O94)</f>
        <v>635727</v>
      </c>
      <c r="Q94" s="5"/>
      <c r="R94" s="5"/>
      <c r="S94" s="5"/>
      <c r="T94" s="5"/>
      <c r="U94" s="5"/>
      <c r="V94" s="5"/>
      <c r="W94" s="5"/>
      <c r="IF94">
        <v>-1</v>
      </c>
    </row>
    <row r="95" spans="1:240" x14ac:dyDescent="0.2">
      <c r="A95" s="5">
        <v>50</v>
      </c>
      <c r="B95" s="5">
        <v>0</v>
      </c>
      <c r="C95" s="5">
        <v>0</v>
      </c>
      <c r="D95" s="5">
        <v>1</v>
      </c>
      <c r="E95" s="5">
        <v>202</v>
      </c>
      <c r="F95" s="5">
        <f>ROUND(Source!P92,O95)</f>
        <v>74666</v>
      </c>
      <c r="G95" s="5" t="s">
        <v>109</v>
      </c>
      <c r="H95" s="5" t="s">
        <v>110</v>
      </c>
      <c r="I95" s="5"/>
      <c r="J95" s="5"/>
      <c r="K95" s="5">
        <v>202</v>
      </c>
      <c r="L95" s="5">
        <v>2</v>
      </c>
      <c r="M95" s="5">
        <v>3</v>
      </c>
      <c r="N95" s="5" t="s">
        <v>5</v>
      </c>
      <c r="O95" s="5">
        <v>0</v>
      </c>
      <c r="P95" s="5">
        <f>ROUND(Source!DH92,O95)</f>
        <v>506233</v>
      </c>
      <c r="Q95" s="5"/>
      <c r="R95" s="5"/>
      <c r="S95" s="5"/>
      <c r="T95" s="5"/>
      <c r="U95" s="5"/>
      <c r="V95" s="5"/>
      <c r="W95" s="5"/>
      <c r="IF95">
        <v>-1</v>
      </c>
    </row>
    <row r="96" spans="1:240" x14ac:dyDescent="0.2">
      <c r="A96" s="5">
        <v>50</v>
      </c>
      <c r="B96" s="5">
        <v>0</v>
      </c>
      <c r="C96" s="5">
        <v>0</v>
      </c>
      <c r="D96" s="5">
        <v>1</v>
      </c>
      <c r="E96" s="5">
        <v>222</v>
      </c>
      <c r="F96" s="5">
        <f>ROUND(Source!AO92,O96)</f>
        <v>0</v>
      </c>
      <c r="G96" s="5" t="s">
        <v>111</v>
      </c>
      <c r="H96" s="5" t="s">
        <v>112</v>
      </c>
      <c r="I96" s="5"/>
      <c r="J96" s="5"/>
      <c r="K96" s="5">
        <v>222</v>
      </c>
      <c r="L96" s="5">
        <v>3</v>
      </c>
      <c r="M96" s="5">
        <v>3</v>
      </c>
      <c r="N96" s="5" t="s">
        <v>5</v>
      </c>
      <c r="O96" s="5">
        <v>0</v>
      </c>
      <c r="P96" s="5">
        <f>ROUND(Source!EG92,O96)</f>
        <v>0</v>
      </c>
      <c r="Q96" s="5"/>
      <c r="R96" s="5"/>
      <c r="S96" s="5"/>
      <c r="T96" s="5"/>
      <c r="U96" s="5"/>
      <c r="V96" s="5"/>
      <c r="W96" s="5"/>
      <c r="IF96">
        <v>-1</v>
      </c>
    </row>
    <row r="97" spans="1:240" x14ac:dyDescent="0.2">
      <c r="A97" s="5">
        <v>50</v>
      </c>
      <c r="B97" s="5">
        <v>0</v>
      </c>
      <c r="C97" s="5">
        <v>0</v>
      </c>
      <c r="D97" s="5">
        <v>1</v>
      </c>
      <c r="E97" s="5">
        <v>225</v>
      </c>
      <c r="F97" s="5">
        <f>ROUND(Source!AV92,O97)</f>
        <v>74666</v>
      </c>
      <c r="G97" s="5" t="s">
        <v>113</v>
      </c>
      <c r="H97" s="5" t="s">
        <v>114</v>
      </c>
      <c r="I97" s="5"/>
      <c r="J97" s="5"/>
      <c r="K97" s="5">
        <v>225</v>
      </c>
      <c r="L97" s="5">
        <v>4</v>
      </c>
      <c r="M97" s="5">
        <v>3</v>
      </c>
      <c r="N97" s="5" t="s">
        <v>5</v>
      </c>
      <c r="O97" s="5">
        <v>0</v>
      </c>
      <c r="P97" s="5">
        <f>ROUND(Source!EN92,O97)</f>
        <v>506233</v>
      </c>
      <c r="Q97" s="5"/>
      <c r="R97" s="5"/>
      <c r="S97" s="5"/>
      <c r="T97" s="5"/>
      <c r="U97" s="5"/>
      <c r="V97" s="5"/>
      <c r="W97" s="5"/>
      <c r="IF97">
        <v>-1</v>
      </c>
    </row>
    <row r="98" spans="1:240" x14ac:dyDescent="0.2">
      <c r="A98" s="5">
        <v>50</v>
      </c>
      <c r="B98" s="5">
        <v>0</v>
      </c>
      <c r="C98" s="5">
        <v>0</v>
      </c>
      <c r="D98" s="5">
        <v>1</v>
      </c>
      <c r="E98" s="5">
        <v>226</v>
      </c>
      <c r="F98" s="5">
        <f>ROUND(Source!AW92,O98)</f>
        <v>74666</v>
      </c>
      <c r="G98" s="5" t="s">
        <v>115</v>
      </c>
      <c r="H98" s="5" t="s">
        <v>116</v>
      </c>
      <c r="I98" s="5"/>
      <c r="J98" s="5"/>
      <c r="K98" s="5">
        <v>226</v>
      </c>
      <c r="L98" s="5">
        <v>5</v>
      </c>
      <c r="M98" s="5">
        <v>3</v>
      </c>
      <c r="N98" s="5" t="s">
        <v>5</v>
      </c>
      <c r="O98" s="5">
        <v>0</v>
      </c>
      <c r="P98" s="5">
        <f>ROUND(Source!EO92,O98)</f>
        <v>506233</v>
      </c>
      <c r="Q98" s="5"/>
      <c r="R98" s="5"/>
      <c r="S98" s="5"/>
      <c r="T98" s="5"/>
      <c r="U98" s="5"/>
      <c r="V98" s="5"/>
      <c r="W98" s="5"/>
      <c r="IF98">
        <v>-1</v>
      </c>
    </row>
    <row r="99" spans="1:240" x14ac:dyDescent="0.2">
      <c r="A99" s="5">
        <v>50</v>
      </c>
      <c r="B99" s="5">
        <v>0</v>
      </c>
      <c r="C99" s="5">
        <v>0</v>
      </c>
      <c r="D99" s="5">
        <v>1</v>
      </c>
      <c r="E99" s="5">
        <v>227</v>
      </c>
      <c r="F99" s="5">
        <f>ROUND(Source!AX92,O99)</f>
        <v>0</v>
      </c>
      <c r="G99" s="5" t="s">
        <v>117</v>
      </c>
      <c r="H99" s="5" t="s">
        <v>118</v>
      </c>
      <c r="I99" s="5"/>
      <c r="J99" s="5"/>
      <c r="K99" s="5">
        <v>227</v>
      </c>
      <c r="L99" s="5">
        <v>6</v>
      </c>
      <c r="M99" s="5">
        <v>3</v>
      </c>
      <c r="N99" s="5" t="s">
        <v>5</v>
      </c>
      <c r="O99" s="5">
        <v>0</v>
      </c>
      <c r="P99" s="5">
        <f>ROUND(Source!EP92,O99)</f>
        <v>0</v>
      </c>
      <c r="Q99" s="5"/>
      <c r="R99" s="5"/>
      <c r="S99" s="5"/>
      <c r="T99" s="5"/>
      <c r="U99" s="5"/>
      <c r="V99" s="5"/>
      <c r="W99" s="5"/>
      <c r="IF99">
        <v>-1</v>
      </c>
    </row>
    <row r="100" spans="1:240" x14ac:dyDescent="0.2">
      <c r="A100" s="5">
        <v>50</v>
      </c>
      <c r="B100" s="5">
        <v>0</v>
      </c>
      <c r="C100" s="5">
        <v>0</v>
      </c>
      <c r="D100" s="5">
        <v>1</v>
      </c>
      <c r="E100" s="5">
        <v>228</v>
      </c>
      <c r="F100" s="5">
        <f>ROUND(Source!AY92,O100)</f>
        <v>74666</v>
      </c>
      <c r="G100" s="5" t="s">
        <v>119</v>
      </c>
      <c r="H100" s="5" t="s">
        <v>120</v>
      </c>
      <c r="I100" s="5"/>
      <c r="J100" s="5"/>
      <c r="K100" s="5">
        <v>228</v>
      </c>
      <c r="L100" s="5">
        <v>7</v>
      </c>
      <c r="M100" s="5">
        <v>3</v>
      </c>
      <c r="N100" s="5" t="s">
        <v>5</v>
      </c>
      <c r="O100" s="5">
        <v>0</v>
      </c>
      <c r="P100" s="5">
        <f>ROUND(Source!EQ92,O100)</f>
        <v>506233</v>
      </c>
      <c r="Q100" s="5"/>
      <c r="R100" s="5"/>
      <c r="S100" s="5"/>
      <c r="T100" s="5"/>
      <c r="U100" s="5"/>
      <c r="V100" s="5"/>
      <c r="W100" s="5"/>
      <c r="IF100">
        <v>-1</v>
      </c>
    </row>
    <row r="101" spans="1:240" x14ac:dyDescent="0.2">
      <c r="A101" s="5">
        <v>50</v>
      </c>
      <c r="B101" s="5">
        <v>0</v>
      </c>
      <c r="C101" s="5">
        <v>0</v>
      </c>
      <c r="D101" s="5">
        <v>1</v>
      </c>
      <c r="E101" s="5">
        <v>216</v>
      </c>
      <c r="F101" s="5">
        <f>ROUND(Source!AP92,O101)</f>
        <v>0</v>
      </c>
      <c r="G101" s="5" t="s">
        <v>121</v>
      </c>
      <c r="H101" s="5" t="s">
        <v>122</v>
      </c>
      <c r="I101" s="5"/>
      <c r="J101" s="5"/>
      <c r="K101" s="5">
        <v>216</v>
      </c>
      <c r="L101" s="5">
        <v>8</v>
      </c>
      <c r="M101" s="5">
        <v>3</v>
      </c>
      <c r="N101" s="5" t="s">
        <v>5</v>
      </c>
      <c r="O101" s="5">
        <v>0</v>
      </c>
      <c r="P101" s="5">
        <f>ROUND(Source!EH92,O101)</f>
        <v>0</v>
      </c>
      <c r="Q101" s="5"/>
      <c r="R101" s="5"/>
      <c r="S101" s="5"/>
      <c r="T101" s="5"/>
      <c r="U101" s="5"/>
      <c r="V101" s="5"/>
      <c r="W101" s="5"/>
      <c r="IF101">
        <v>-1</v>
      </c>
    </row>
    <row r="102" spans="1:240" x14ac:dyDescent="0.2">
      <c r="A102" s="5">
        <v>50</v>
      </c>
      <c r="B102" s="5">
        <v>0</v>
      </c>
      <c r="C102" s="5">
        <v>0</v>
      </c>
      <c r="D102" s="5">
        <v>1</v>
      </c>
      <c r="E102" s="5">
        <v>223</v>
      </c>
      <c r="F102" s="5">
        <f>ROUND(Source!AQ92,O102)</f>
        <v>0</v>
      </c>
      <c r="G102" s="5" t="s">
        <v>123</v>
      </c>
      <c r="H102" s="5" t="s">
        <v>124</v>
      </c>
      <c r="I102" s="5"/>
      <c r="J102" s="5"/>
      <c r="K102" s="5">
        <v>223</v>
      </c>
      <c r="L102" s="5">
        <v>9</v>
      </c>
      <c r="M102" s="5">
        <v>3</v>
      </c>
      <c r="N102" s="5" t="s">
        <v>5</v>
      </c>
      <c r="O102" s="5">
        <v>0</v>
      </c>
      <c r="P102" s="5">
        <f>ROUND(Source!EI92,O102)</f>
        <v>0</v>
      </c>
      <c r="Q102" s="5"/>
      <c r="R102" s="5"/>
      <c r="S102" s="5"/>
      <c r="T102" s="5"/>
      <c r="U102" s="5"/>
      <c r="V102" s="5"/>
      <c r="W102" s="5"/>
      <c r="IF102">
        <v>-1</v>
      </c>
    </row>
    <row r="103" spans="1:240" x14ac:dyDescent="0.2">
      <c r="A103" s="5">
        <v>50</v>
      </c>
      <c r="B103" s="5">
        <v>0</v>
      </c>
      <c r="C103" s="5">
        <v>0</v>
      </c>
      <c r="D103" s="5">
        <v>1</v>
      </c>
      <c r="E103" s="5">
        <v>229</v>
      </c>
      <c r="F103" s="5">
        <f>ROUND(Source!AZ92,O103)</f>
        <v>0</v>
      </c>
      <c r="G103" s="5" t="s">
        <v>125</v>
      </c>
      <c r="H103" s="5" t="s">
        <v>126</v>
      </c>
      <c r="I103" s="5"/>
      <c r="J103" s="5"/>
      <c r="K103" s="5">
        <v>229</v>
      </c>
      <c r="L103" s="5">
        <v>10</v>
      </c>
      <c r="M103" s="5">
        <v>3</v>
      </c>
      <c r="N103" s="5" t="s">
        <v>5</v>
      </c>
      <c r="O103" s="5">
        <v>0</v>
      </c>
      <c r="P103" s="5">
        <f>ROUND(Source!ER92,O103)</f>
        <v>0</v>
      </c>
      <c r="Q103" s="5"/>
      <c r="R103" s="5"/>
      <c r="S103" s="5"/>
      <c r="T103" s="5"/>
      <c r="U103" s="5"/>
      <c r="V103" s="5"/>
      <c r="W103" s="5"/>
      <c r="IF103">
        <v>-1</v>
      </c>
    </row>
    <row r="104" spans="1:240" x14ac:dyDescent="0.2">
      <c r="A104" s="5">
        <v>50</v>
      </c>
      <c r="B104" s="5">
        <v>0</v>
      </c>
      <c r="C104" s="5">
        <v>0</v>
      </c>
      <c r="D104" s="5">
        <v>1</v>
      </c>
      <c r="E104" s="5">
        <v>203</v>
      </c>
      <c r="F104" s="5">
        <f>ROUND(Source!Q92,O104)</f>
        <v>2552</v>
      </c>
      <c r="G104" s="5" t="s">
        <v>127</v>
      </c>
      <c r="H104" s="5" t="s">
        <v>128</v>
      </c>
      <c r="I104" s="5"/>
      <c r="J104" s="5"/>
      <c r="K104" s="5">
        <v>203</v>
      </c>
      <c r="L104" s="5">
        <v>11</v>
      </c>
      <c r="M104" s="5">
        <v>3</v>
      </c>
      <c r="N104" s="5" t="s">
        <v>5</v>
      </c>
      <c r="O104" s="5">
        <v>0</v>
      </c>
      <c r="P104" s="5">
        <f>ROUND(Source!DI92,O104)</f>
        <v>17309</v>
      </c>
      <c r="Q104" s="5"/>
      <c r="R104" s="5"/>
      <c r="S104" s="5"/>
      <c r="T104" s="5"/>
      <c r="U104" s="5"/>
      <c r="V104" s="5"/>
      <c r="W104" s="5"/>
      <c r="IF104">
        <v>-1</v>
      </c>
    </row>
    <row r="105" spans="1:240" x14ac:dyDescent="0.2">
      <c r="A105" s="5">
        <v>50</v>
      </c>
      <c r="B105" s="5">
        <v>0</v>
      </c>
      <c r="C105" s="5">
        <v>0</v>
      </c>
      <c r="D105" s="5">
        <v>1</v>
      </c>
      <c r="E105" s="5">
        <v>231</v>
      </c>
      <c r="F105" s="5">
        <f>ROUND(Source!BB92,O105)</f>
        <v>0</v>
      </c>
      <c r="G105" s="5" t="s">
        <v>129</v>
      </c>
      <c r="H105" s="5" t="s">
        <v>130</v>
      </c>
      <c r="I105" s="5"/>
      <c r="J105" s="5"/>
      <c r="K105" s="5">
        <v>231</v>
      </c>
      <c r="L105" s="5">
        <v>12</v>
      </c>
      <c r="M105" s="5">
        <v>3</v>
      </c>
      <c r="N105" s="5" t="s">
        <v>5</v>
      </c>
      <c r="O105" s="5">
        <v>0</v>
      </c>
      <c r="P105" s="5">
        <f>ROUND(Source!ET92,O105)</f>
        <v>0</v>
      </c>
      <c r="Q105" s="5"/>
      <c r="R105" s="5"/>
      <c r="S105" s="5"/>
      <c r="T105" s="5"/>
      <c r="U105" s="5"/>
      <c r="V105" s="5"/>
      <c r="W105" s="5"/>
      <c r="IF105">
        <v>-1</v>
      </c>
    </row>
    <row r="106" spans="1:240" x14ac:dyDescent="0.2">
      <c r="A106" s="5">
        <v>50</v>
      </c>
      <c r="B106" s="5">
        <v>0</v>
      </c>
      <c r="C106" s="5">
        <v>0</v>
      </c>
      <c r="D106" s="5">
        <v>1</v>
      </c>
      <c r="E106" s="5">
        <v>204</v>
      </c>
      <c r="F106" s="5">
        <f>ROUND(Source!R92,O106)</f>
        <v>997</v>
      </c>
      <c r="G106" s="5" t="s">
        <v>131</v>
      </c>
      <c r="H106" s="5" t="s">
        <v>132</v>
      </c>
      <c r="I106" s="5"/>
      <c r="J106" s="5"/>
      <c r="K106" s="5">
        <v>204</v>
      </c>
      <c r="L106" s="5">
        <v>13</v>
      </c>
      <c r="M106" s="5">
        <v>3</v>
      </c>
      <c r="N106" s="5" t="s">
        <v>5</v>
      </c>
      <c r="O106" s="5">
        <v>0</v>
      </c>
      <c r="P106" s="5">
        <f>ROUND(Source!DJ92,O106)</f>
        <v>6756</v>
      </c>
      <c r="Q106" s="5"/>
      <c r="R106" s="5"/>
      <c r="S106" s="5"/>
      <c r="T106" s="5"/>
      <c r="U106" s="5"/>
      <c r="V106" s="5"/>
      <c r="W106" s="5"/>
      <c r="IF106">
        <v>-1</v>
      </c>
    </row>
    <row r="107" spans="1:240" x14ac:dyDescent="0.2">
      <c r="A107" s="5">
        <v>50</v>
      </c>
      <c r="B107" s="5">
        <v>0</v>
      </c>
      <c r="C107" s="5">
        <v>0</v>
      </c>
      <c r="D107" s="5">
        <v>1</v>
      </c>
      <c r="E107" s="5">
        <v>205</v>
      </c>
      <c r="F107" s="5">
        <f>ROUND(Source!S92,O107)</f>
        <v>16547</v>
      </c>
      <c r="G107" s="5" t="s">
        <v>133</v>
      </c>
      <c r="H107" s="5" t="s">
        <v>134</v>
      </c>
      <c r="I107" s="5"/>
      <c r="J107" s="5"/>
      <c r="K107" s="5">
        <v>205</v>
      </c>
      <c r="L107" s="5">
        <v>14</v>
      </c>
      <c r="M107" s="5">
        <v>3</v>
      </c>
      <c r="N107" s="5" t="s">
        <v>5</v>
      </c>
      <c r="O107" s="5">
        <v>0</v>
      </c>
      <c r="P107" s="5">
        <f>ROUND(Source!DK92,O107)</f>
        <v>112185</v>
      </c>
      <c r="Q107" s="5"/>
      <c r="R107" s="5"/>
      <c r="S107" s="5"/>
      <c r="T107" s="5"/>
      <c r="U107" s="5"/>
      <c r="V107" s="5"/>
      <c r="W107" s="5"/>
      <c r="IF107">
        <v>-1</v>
      </c>
    </row>
    <row r="108" spans="1:240" x14ac:dyDescent="0.2">
      <c r="A108" s="5">
        <v>50</v>
      </c>
      <c r="B108" s="5">
        <v>0</v>
      </c>
      <c r="C108" s="5">
        <v>0</v>
      </c>
      <c r="D108" s="5">
        <v>1</v>
      </c>
      <c r="E108" s="5">
        <v>232</v>
      </c>
      <c r="F108" s="5">
        <f>ROUND(Source!BC92,O108)</f>
        <v>0</v>
      </c>
      <c r="G108" s="5" t="s">
        <v>135</v>
      </c>
      <c r="H108" s="5" t="s">
        <v>136</v>
      </c>
      <c r="I108" s="5"/>
      <c r="J108" s="5"/>
      <c r="K108" s="5">
        <v>232</v>
      </c>
      <c r="L108" s="5">
        <v>15</v>
      </c>
      <c r="M108" s="5">
        <v>3</v>
      </c>
      <c r="N108" s="5" t="s">
        <v>5</v>
      </c>
      <c r="O108" s="5">
        <v>0</v>
      </c>
      <c r="P108" s="5">
        <f>ROUND(Source!EU92,O108)</f>
        <v>0</v>
      </c>
      <c r="Q108" s="5"/>
      <c r="R108" s="5"/>
      <c r="S108" s="5"/>
      <c r="T108" s="5"/>
      <c r="U108" s="5"/>
      <c r="V108" s="5"/>
      <c r="W108" s="5"/>
      <c r="IF108">
        <v>-1</v>
      </c>
    </row>
    <row r="109" spans="1:240" x14ac:dyDescent="0.2">
      <c r="A109" s="5">
        <v>50</v>
      </c>
      <c r="B109" s="5">
        <v>0</v>
      </c>
      <c r="C109" s="5">
        <v>0</v>
      </c>
      <c r="D109" s="5">
        <v>1</v>
      </c>
      <c r="E109" s="5">
        <v>214</v>
      </c>
      <c r="F109" s="5">
        <f>ROUND(Source!AS92,O109)</f>
        <v>120737</v>
      </c>
      <c r="G109" s="5" t="s">
        <v>137</v>
      </c>
      <c r="H109" s="5" t="s">
        <v>138</v>
      </c>
      <c r="I109" s="5"/>
      <c r="J109" s="5"/>
      <c r="K109" s="5">
        <v>214</v>
      </c>
      <c r="L109" s="5">
        <v>16</v>
      </c>
      <c r="M109" s="5">
        <v>3</v>
      </c>
      <c r="N109" s="5" t="s">
        <v>5</v>
      </c>
      <c r="O109" s="5">
        <v>0</v>
      </c>
      <c r="P109" s="5">
        <f>ROUND(Source!EK92,O109)</f>
        <v>818577</v>
      </c>
      <c r="Q109" s="5"/>
      <c r="R109" s="5"/>
      <c r="S109" s="5"/>
      <c r="T109" s="5"/>
      <c r="U109" s="5"/>
      <c r="V109" s="5"/>
      <c r="W109" s="5"/>
      <c r="IF109">
        <v>-1</v>
      </c>
    </row>
    <row r="110" spans="1:240" x14ac:dyDescent="0.2">
      <c r="A110" s="5">
        <v>50</v>
      </c>
      <c r="B110" s="5">
        <v>0</v>
      </c>
      <c r="C110" s="5">
        <v>0</v>
      </c>
      <c r="D110" s="5">
        <v>1</v>
      </c>
      <c r="E110" s="5">
        <v>215</v>
      </c>
      <c r="F110" s="5">
        <f>ROUND(Source!AT92,O110)</f>
        <v>0</v>
      </c>
      <c r="G110" s="5" t="s">
        <v>139</v>
      </c>
      <c r="H110" s="5" t="s">
        <v>140</v>
      </c>
      <c r="I110" s="5"/>
      <c r="J110" s="5"/>
      <c r="K110" s="5">
        <v>215</v>
      </c>
      <c r="L110" s="5">
        <v>17</v>
      </c>
      <c r="M110" s="5">
        <v>3</v>
      </c>
      <c r="N110" s="5" t="s">
        <v>5</v>
      </c>
      <c r="O110" s="5">
        <v>0</v>
      </c>
      <c r="P110" s="5">
        <f>ROUND(Source!EL92,O110)</f>
        <v>0</v>
      </c>
      <c r="Q110" s="5"/>
      <c r="R110" s="5"/>
      <c r="S110" s="5"/>
      <c r="T110" s="5"/>
      <c r="U110" s="5"/>
      <c r="V110" s="5"/>
      <c r="W110" s="5"/>
      <c r="IF110">
        <v>-1</v>
      </c>
    </row>
    <row r="111" spans="1:240" x14ac:dyDescent="0.2">
      <c r="A111" s="5">
        <v>50</v>
      </c>
      <c r="B111" s="5">
        <v>0</v>
      </c>
      <c r="C111" s="5">
        <v>0</v>
      </c>
      <c r="D111" s="5">
        <v>1</v>
      </c>
      <c r="E111" s="5">
        <v>217</v>
      </c>
      <c r="F111" s="5">
        <f>ROUND(Source!AU92,O111)</f>
        <v>0</v>
      </c>
      <c r="G111" s="5" t="s">
        <v>141</v>
      </c>
      <c r="H111" s="5" t="s">
        <v>142</v>
      </c>
      <c r="I111" s="5"/>
      <c r="J111" s="5"/>
      <c r="K111" s="5">
        <v>217</v>
      </c>
      <c r="L111" s="5">
        <v>18</v>
      </c>
      <c r="M111" s="5">
        <v>3</v>
      </c>
      <c r="N111" s="5" t="s">
        <v>5</v>
      </c>
      <c r="O111" s="5">
        <v>0</v>
      </c>
      <c r="P111" s="5">
        <f>ROUND(Source!EM92,O111)</f>
        <v>0</v>
      </c>
      <c r="Q111" s="5"/>
      <c r="R111" s="5"/>
      <c r="S111" s="5"/>
      <c r="T111" s="5"/>
      <c r="U111" s="5"/>
      <c r="V111" s="5"/>
      <c r="W111" s="5"/>
      <c r="IF111">
        <v>-1</v>
      </c>
    </row>
    <row r="112" spans="1:240" x14ac:dyDescent="0.2">
      <c r="A112" s="5">
        <v>50</v>
      </c>
      <c r="B112" s="5">
        <v>0</v>
      </c>
      <c r="C112" s="5">
        <v>0</v>
      </c>
      <c r="D112" s="5">
        <v>1</v>
      </c>
      <c r="E112" s="5">
        <v>230</v>
      </c>
      <c r="F112" s="5">
        <f>ROUND(Source!BA92,O112)</f>
        <v>0</v>
      </c>
      <c r="G112" s="5" t="s">
        <v>143</v>
      </c>
      <c r="H112" s="5" t="s">
        <v>144</v>
      </c>
      <c r="I112" s="5"/>
      <c r="J112" s="5"/>
      <c r="K112" s="5">
        <v>230</v>
      </c>
      <c r="L112" s="5">
        <v>19</v>
      </c>
      <c r="M112" s="5">
        <v>3</v>
      </c>
      <c r="N112" s="5" t="s">
        <v>5</v>
      </c>
      <c r="O112" s="5">
        <v>0</v>
      </c>
      <c r="P112" s="5">
        <f>ROUND(Source!ES92,O112)</f>
        <v>0</v>
      </c>
      <c r="Q112" s="5"/>
      <c r="R112" s="5"/>
      <c r="S112" s="5"/>
      <c r="T112" s="5"/>
      <c r="U112" s="5"/>
      <c r="V112" s="5"/>
      <c r="W112" s="5"/>
      <c r="IF112">
        <v>-1</v>
      </c>
    </row>
    <row r="113" spans="1:240" x14ac:dyDescent="0.2">
      <c r="A113" s="5">
        <v>50</v>
      </c>
      <c r="B113" s="5">
        <v>0</v>
      </c>
      <c r="C113" s="5">
        <v>0</v>
      </c>
      <c r="D113" s="5">
        <v>1</v>
      </c>
      <c r="E113" s="5">
        <v>206</v>
      </c>
      <c r="F113" s="5">
        <f>ROUND(Source!T92,O113)</f>
        <v>0</v>
      </c>
      <c r="G113" s="5" t="s">
        <v>145</v>
      </c>
      <c r="H113" s="5" t="s">
        <v>146</v>
      </c>
      <c r="I113" s="5"/>
      <c r="J113" s="5"/>
      <c r="K113" s="5">
        <v>206</v>
      </c>
      <c r="L113" s="5">
        <v>20</v>
      </c>
      <c r="M113" s="5">
        <v>3</v>
      </c>
      <c r="N113" s="5" t="s">
        <v>5</v>
      </c>
      <c r="O113" s="5">
        <v>0</v>
      </c>
      <c r="P113" s="5">
        <f>ROUND(Source!DL92,O113)</f>
        <v>0</v>
      </c>
      <c r="Q113" s="5"/>
      <c r="R113" s="5"/>
      <c r="S113" s="5"/>
      <c r="T113" s="5"/>
      <c r="U113" s="5"/>
      <c r="V113" s="5"/>
      <c r="W113" s="5"/>
      <c r="IF113">
        <v>-1</v>
      </c>
    </row>
    <row r="114" spans="1:240" x14ac:dyDescent="0.2">
      <c r="A114" s="5">
        <v>50</v>
      </c>
      <c r="B114" s="5">
        <v>0</v>
      </c>
      <c r="C114" s="5">
        <v>0</v>
      </c>
      <c r="D114" s="5">
        <v>1</v>
      </c>
      <c r="E114" s="5">
        <v>207</v>
      </c>
      <c r="F114" s="5">
        <f>Source!U92</f>
        <v>1775.4655209999999</v>
      </c>
      <c r="G114" s="5" t="s">
        <v>147</v>
      </c>
      <c r="H114" s="5" t="s">
        <v>148</v>
      </c>
      <c r="I114" s="5"/>
      <c r="J114" s="5"/>
      <c r="K114" s="5">
        <v>207</v>
      </c>
      <c r="L114" s="5">
        <v>21</v>
      </c>
      <c r="M114" s="5">
        <v>3</v>
      </c>
      <c r="N114" s="5" t="s">
        <v>5</v>
      </c>
      <c r="O114" s="5">
        <v>-1</v>
      </c>
      <c r="P114" s="5">
        <f>Source!DM92</f>
        <v>1775.4655209999999</v>
      </c>
      <c r="Q114" s="5"/>
      <c r="R114" s="5"/>
      <c r="S114" s="5"/>
      <c r="T114" s="5"/>
      <c r="U114" s="5"/>
      <c r="V114" s="5"/>
      <c r="W114" s="5"/>
      <c r="IF114">
        <v>-1</v>
      </c>
    </row>
    <row r="115" spans="1:240" x14ac:dyDescent="0.2">
      <c r="A115" s="5">
        <v>50</v>
      </c>
      <c r="B115" s="5">
        <v>0</v>
      </c>
      <c r="C115" s="5">
        <v>0</v>
      </c>
      <c r="D115" s="5">
        <v>1</v>
      </c>
      <c r="E115" s="5">
        <v>208</v>
      </c>
      <c r="F115" s="5">
        <f>Source!V92</f>
        <v>85.893817000000013</v>
      </c>
      <c r="G115" s="5" t="s">
        <v>149</v>
      </c>
      <c r="H115" s="5" t="s">
        <v>150</v>
      </c>
      <c r="I115" s="5"/>
      <c r="J115" s="5"/>
      <c r="K115" s="5">
        <v>208</v>
      </c>
      <c r="L115" s="5">
        <v>22</v>
      </c>
      <c r="M115" s="5">
        <v>3</v>
      </c>
      <c r="N115" s="5" t="s">
        <v>5</v>
      </c>
      <c r="O115" s="5">
        <v>-1</v>
      </c>
      <c r="P115" s="5">
        <f>Source!DN92</f>
        <v>85.893817000000013</v>
      </c>
      <c r="Q115" s="5"/>
      <c r="R115" s="5"/>
      <c r="S115" s="5"/>
      <c r="T115" s="5"/>
      <c r="U115" s="5"/>
      <c r="V115" s="5"/>
      <c r="W115" s="5"/>
      <c r="IF115">
        <v>-1</v>
      </c>
    </row>
    <row r="116" spans="1:240" x14ac:dyDescent="0.2">
      <c r="A116" s="5">
        <v>50</v>
      </c>
      <c r="B116" s="5">
        <v>0</v>
      </c>
      <c r="C116" s="5">
        <v>0</v>
      </c>
      <c r="D116" s="5">
        <v>1</v>
      </c>
      <c r="E116" s="5">
        <v>209</v>
      </c>
      <c r="F116" s="5">
        <f>ROUND(Source!W92,O116)</f>
        <v>0</v>
      </c>
      <c r="G116" s="5" t="s">
        <v>151</v>
      </c>
      <c r="H116" s="5" t="s">
        <v>152</v>
      </c>
      <c r="I116" s="5"/>
      <c r="J116" s="5"/>
      <c r="K116" s="5">
        <v>209</v>
      </c>
      <c r="L116" s="5">
        <v>23</v>
      </c>
      <c r="M116" s="5">
        <v>3</v>
      </c>
      <c r="N116" s="5" t="s">
        <v>5</v>
      </c>
      <c r="O116" s="5">
        <v>0</v>
      </c>
      <c r="P116" s="5">
        <f>ROUND(Source!DO92,O116)</f>
        <v>0</v>
      </c>
      <c r="Q116" s="5"/>
      <c r="R116" s="5"/>
      <c r="S116" s="5"/>
      <c r="T116" s="5"/>
      <c r="U116" s="5"/>
      <c r="V116" s="5"/>
      <c r="W116" s="5"/>
      <c r="IF116">
        <v>-1</v>
      </c>
    </row>
    <row r="117" spans="1:240" x14ac:dyDescent="0.2">
      <c r="A117" s="5">
        <v>50</v>
      </c>
      <c r="B117" s="5">
        <v>0</v>
      </c>
      <c r="C117" s="5">
        <v>0</v>
      </c>
      <c r="D117" s="5">
        <v>1</v>
      </c>
      <c r="E117" s="5">
        <v>210</v>
      </c>
      <c r="F117" s="5">
        <f>ROUND(Source!X92,O117)</f>
        <v>17249</v>
      </c>
      <c r="G117" s="5" t="s">
        <v>153</v>
      </c>
      <c r="H117" s="5" t="s">
        <v>154</v>
      </c>
      <c r="I117" s="5"/>
      <c r="J117" s="5"/>
      <c r="K117" s="5">
        <v>210</v>
      </c>
      <c r="L117" s="5">
        <v>24</v>
      </c>
      <c r="M117" s="5">
        <v>3</v>
      </c>
      <c r="N117" s="5" t="s">
        <v>5</v>
      </c>
      <c r="O117" s="5">
        <v>0</v>
      </c>
      <c r="P117" s="5">
        <f>ROUND(Source!DP92,O117)</f>
        <v>116939</v>
      </c>
      <c r="Q117" s="5"/>
      <c r="R117" s="5"/>
      <c r="S117" s="5"/>
      <c r="T117" s="5"/>
      <c r="U117" s="5"/>
      <c r="V117" s="5"/>
      <c r="W117" s="5"/>
      <c r="IF117">
        <v>-1</v>
      </c>
    </row>
    <row r="118" spans="1:240" x14ac:dyDescent="0.2">
      <c r="A118" s="5">
        <v>50</v>
      </c>
      <c r="B118" s="5">
        <v>0</v>
      </c>
      <c r="C118" s="5">
        <v>0</v>
      </c>
      <c r="D118" s="5">
        <v>1</v>
      </c>
      <c r="E118" s="5">
        <v>211</v>
      </c>
      <c r="F118" s="5">
        <f>ROUND(Source!Y92,O118)</f>
        <v>9723</v>
      </c>
      <c r="G118" s="5" t="s">
        <v>155</v>
      </c>
      <c r="H118" s="5" t="s">
        <v>156</v>
      </c>
      <c r="I118" s="5"/>
      <c r="J118" s="5"/>
      <c r="K118" s="5">
        <v>211</v>
      </c>
      <c r="L118" s="5">
        <v>25</v>
      </c>
      <c r="M118" s="5">
        <v>3</v>
      </c>
      <c r="N118" s="5" t="s">
        <v>5</v>
      </c>
      <c r="O118" s="5">
        <v>0</v>
      </c>
      <c r="P118" s="5">
        <f>ROUND(Source!DQ92,O118)</f>
        <v>65911</v>
      </c>
      <c r="Q118" s="5"/>
      <c r="R118" s="5"/>
      <c r="S118" s="5"/>
      <c r="T118" s="5"/>
      <c r="U118" s="5"/>
      <c r="V118" s="5"/>
      <c r="W118" s="5"/>
      <c r="IF118">
        <v>-1</v>
      </c>
    </row>
    <row r="119" spans="1:240" x14ac:dyDescent="0.2">
      <c r="A119" s="5">
        <v>50</v>
      </c>
      <c r="B119" s="5">
        <v>0</v>
      </c>
      <c r="C119" s="5">
        <v>0</v>
      </c>
      <c r="D119" s="5">
        <v>1</v>
      </c>
      <c r="E119" s="5">
        <v>224</v>
      </c>
      <c r="F119" s="5">
        <f>ROUND(Source!AR92,O119)</f>
        <v>120737</v>
      </c>
      <c r="G119" s="5" t="s">
        <v>157</v>
      </c>
      <c r="H119" s="5" t="s">
        <v>158</v>
      </c>
      <c r="I119" s="5"/>
      <c r="J119" s="5"/>
      <c r="K119" s="5">
        <v>224</v>
      </c>
      <c r="L119" s="5">
        <v>26</v>
      </c>
      <c r="M119" s="5">
        <v>3</v>
      </c>
      <c r="N119" s="5" t="s">
        <v>5</v>
      </c>
      <c r="O119" s="5">
        <v>0</v>
      </c>
      <c r="P119" s="5">
        <f>ROUND(Source!EJ92,O119)</f>
        <v>818577</v>
      </c>
      <c r="Q119" s="5"/>
      <c r="R119" s="5"/>
      <c r="S119" s="5"/>
      <c r="T119" s="5"/>
      <c r="U119" s="5"/>
      <c r="V119" s="5"/>
      <c r="W119" s="5"/>
      <c r="IF119">
        <v>-1</v>
      </c>
    </row>
    <row r="120" spans="1:240" x14ac:dyDescent="0.2">
      <c r="IF120">
        <v>-1</v>
      </c>
    </row>
    <row r="121" spans="1:240" x14ac:dyDescent="0.2">
      <c r="IF121">
        <v>-1</v>
      </c>
    </row>
    <row r="122" spans="1:240" x14ac:dyDescent="0.2">
      <c r="A122">
        <v>70</v>
      </c>
      <c r="B122">
        <v>1</v>
      </c>
      <c r="D122">
        <v>1</v>
      </c>
      <c r="E122" t="s">
        <v>159</v>
      </c>
      <c r="F122" t="s">
        <v>160</v>
      </c>
      <c r="G122">
        <v>1</v>
      </c>
      <c r="H122">
        <v>0</v>
      </c>
      <c r="I122" t="s">
        <v>161</v>
      </c>
      <c r="J122">
        <v>0</v>
      </c>
      <c r="K122">
        <v>0</v>
      </c>
      <c r="L122" t="s">
        <v>5</v>
      </c>
      <c r="M122" t="s">
        <v>5</v>
      </c>
      <c r="N122">
        <v>0</v>
      </c>
      <c r="O122">
        <v>1</v>
      </c>
      <c r="IF122">
        <v>-1</v>
      </c>
    </row>
    <row r="123" spans="1:240" x14ac:dyDescent="0.2">
      <c r="A123">
        <v>70</v>
      </c>
      <c r="B123">
        <v>1</v>
      </c>
      <c r="D123">
        <v>2</v>
      </c>
      <c r="E123" t="s">
        <v>162</v>
      </c>
      <c r="F123" t="s">
        <v>163</v>
      </c>
      <c r="G123">
        <v>0</v>
      </c>
      <c r="H123">
        <v>0</v>
      </c>
      <c r="I123" t="s">
        <v>161</v>
      </c>
      <c r="J123">
        <v>0</v>
      </c>
      <c r="K123">
        <v>0</v>
      </c>
      <c r="L123" t="s">
        <v>5</v>
      </c>
      <c r="M123" t="s">
        <v>5</v>
      </c>
      <c r="N123">
        <v>0</v>
      </c>
      <c r="O123">
        <v>0</v>
      </c>
      <c r="IF123">
        <v>-1</v>
      </c>
    </row>
    <row r="124" spans="1:240" x14ac:dyDescent="0.2">
      <c r="A124">
        <v>70</v>
      </c>
      <c r="B124">
        <v>1</v>
      </c>
      <c r="D124">
        <v>3</v>
      </c>
      <c r="E124" t="s">
        <v>164</v>
      </c>
      <c r="F124" t="s">
        <v>165</v>
      </c>
      <c r="G124">
        <v>0</v>
      </c>
      <c r="H124">
        <v>0</v>
      </c>
      <c r="I124" t="s">
        <v>161</v>
      </c>
      <c r="J124">
        <v>0</v>
      </c>
      <c r="K124">
        <v>0</v>
      </c>
      <c r="L124" t="s">
        <v>5</v>
      </c>
      <c r="M124" t="s">
        <v>5</v>
      </c>
      <c r="N124">
        <v>0</v>
      </c>
      <c r="O124">
        <v>0</v>
      </c>
      <c r="IF124">
        <v>-1</v>
      </c>
    </row>
    <row r="125" spans="1:240" x14ac:dyDescent="0.2">
      <c r="A125">
        <v>70</v>
      </c>
      <c r="B125">
        <v>1</v>
      </c>
      <c r="D125">
        <v>4</v>
      </c>
      <c r="E125" t="s">
        <v>166</v>
      </c>
      <c r="F125" t="s">
        <v>167</v>
      </c>
      <c r="G125">
        <v>0</v>
      </c>
      <c r="H125">
        <v>0</v>
      </c>
      <c r="I125" t="s">
        <v>161</v>
      </c>
      <c r="J125">
        <v>0</v>
      </c>
      <c r="K125">
        <v>0</v>
      </c>
      <c r="L125" t="s">
        <v>5</v>
      </c>
      <c r="M125" t="s">
        <v>5</v>
      </c>
      <c r="N125">
        <v>0</v>
      </c>
      <c r="O125">
        <v>0</v>
      </c>
      <c r="IF125">
        <v>-1</v>
      </c>
    </row>
    <row r="126" spans="1:240" x14ac:dyDescent="0.2">
      <c r="A126">
        <v>70</v>
      </c>
      <c r="B126">
        <v>1</v>
      </c>
      <c r="D126">
        <v>5</v>
      </c>
      <c r="E126" t="s">
        <v>168</v>
      </c>
      <c r="F126" t="s">
        <v>169</v>
      </c>
      <c r="G126">
        <v>0</v>
      </c>
      <c r="H126">
        <v>0</v>
      </c>
      <c r="I126" t="s">
        <v>161</v>
      </c>
      <c r="J126">
        <v>0</v>
      </c>
      <c r="K126">
        <v>0</v>
      </c>
      <c r="L126" t="s">
        <v>5</v>
      </c>
      <c r="M126" t="s">
        <v>5</v>
      </c>
      <c r="N126">
        <v>0</v>
      </c>
      <c r="O126">
        <v>0</v>
      </c>
      <c r="IF126">
        <v>-1</v>
      </c>
    </row>
    <row r="127" spans="1:240" x14ac:dyDescent="0.2">
      <c r="A127">
        <v>70</v>
      </c>
      <c r="B127">
        <v>1</v>
      </c>
      <c r="D127">
        <v>6</v>
      </c>
      <c r="E127" t="s">
        <v>170</v>
      </c>
      <c r="F127" t="s">
        <v>171</v>
      </c>
      <c r="G127">
        <v>0</v>
      </c>
      <c r="H127">
        <v>0</v>
      </c>
      <c r="I127" t="s">
        <v>161</v>
      </c>
      <c r="J127">
        <v>0</v>
      </c>
      <c r="K127">
        <v>0</v>
      </c>
      <c r="L127" t="s">
        <v>5</v>
      </c>
      <c r="M127" t="s">
        <v>5</v>
      </c>
      <c r="N127">
        <v>0</v>
      </c>
      <c r="O127">
        <v>0</v>
      </c>
      <c r="IF127">
        <v>-1</v>
      </c>
    </row>
    <row r="128" spans="1:240" x14ac:dyDescent="0.2">
      <c r="A128">
        <v>70</v>
      </c>
      <c r="B128">
        <v>1</v>
      </c>
      <c r="D128">
        <v>7</v>
      </c>
      <c r="E128" t="s">
        <v>172</v>
      </c>
      <c r="F128" t="s">
        <v>173</v>
      </c>
      <c r="G128">
        <v>0</v>
      </c>
      <c r="H128">
        <v>0</v>
      </c>
      <c r="I128" t="s">
        <v>161</v>
      </c>
      <c r="J128">
        <v>0</v>
      </c>
      <c r="K128">
        <v>0</v>
      </c>
      <c r="L128" t="s">
        <v>5</v>
      </c>
      <c r="M128" t="s">
        <v>5</v>
      </c>
      <c r="N128">
        <v>0</v>
      </c>
      <c r="O128">
        <v>0</v>
      </c>
      <c r="IF128">
        <v>-1</v>
      </c>
    </row>
    <row r="129" spans="1:240" x14ac:dyDescent="0.2">
      <c r="A129">
        <v>70</v>
      </c>
      <c r="B129">
        <v>1</v>
      </c>
      <c r="D129">
        <v>8</v>
      </c>
      <c r="E129" t="s">
        <v>174</v>
      </c>
      <c r="F129" t="s">
        <v>175</v>
      </c>
      <c r="G129">
        <v>0</v>
      </c>
      <c r="H129">
        <v>0</v>
      </c>
      <c r="I129" t="s">
        <v>161</v>
      </c>
      <c r="J129">
        <v>0</v>
      </c>
      <c r="K129">
        <v>0</v>
      </c>
      <c r="L129" t="s">
        <v>5</v>
      </c>
      <c r="M129" t="s">
        <v>5</v>
      </c>
      <c r="N129">
        <v>0</v>
      </c>
      <c r="O129">
        <v>0</v>
      </c>
      <c r="IF129">
        <v>-1</v>
      </c>
    </row>
    <row r="130" spans="1:240" x14ac:dyDescent="0.2">
      <c r="A130">
        <v>70</v>
      </c>
      <c r="B130">
        <v>1</v>
      </c>
      <c r="D130">
        <v>9</v>
      </c>
      <c r="E130" t="s">
        <v>176</v>
      </c>
      <c r="F130" t="s">
        <v>177</v>
      </c>
      <c r="G130">
        <v>0</v>
      </c>
      <c r="H130">
        <v>0</v>
      </c>
      <c r="I130" t="s">
        <v>161</v>
      </c>
      <c r="J130">
        <v>0</v>
      </c>
      <c r="K130">
        <v>0</v>
      </c>
      <c r="L130" t="s">
        <v>5</v>
      </c>
      <c r="M130" t="s">
        <v>5</v>
      </c>
      <c r="N130">
        <v>0</v>
      </c>
      <c r="O130">
        <v>0</v>
      </c>
      <c r="IF130">
        <v>-1</v>
      </c>
    </row>
    <row r="131" spans="1:240" x14ac:dyDescent="0.2">
      <c r="A131">
        <v>70</v>
      </c>
      <c r="B131">
        <v>1</v>
      </c>
      <c r="D131">
        <v>1</v>
      </c>
      <c r="E131" t="s">
        <v>178</v>
      </c>
      <c r="F131" t="s">
        <v>179</v>
      </c>
      <c r="G131">
        <v>1</v>
      </c>
      <c r="H131">
        <v>1</v>
      </c>
      <c r="I131" t="s">
        <v>161</v>
      </c>
      <c r="J131">
        <v>0</v>
      </c>
      <c r="K131">
        <v>0</v>
      </c>
      <c r="L131" t="s">
        <v>5</v>
      </c>
      <c r="M131" t="s">
        <v>5</v>
      </c>
      <c r="N131">
        <v>0</v>
      </c>
      <c r="O131">
        <v>1</v>
      </c>
      <c r="IF131">
        <v>-1</v>
      </c>
    </row>
    <row r="132" spans="1:240" x14ac:dyDescent="0.2">
      <c r="A132">
        <v>70</v>
      </c>
      <c r="B132">
        <v>1</v>
      </c>
      <c r="D132">
        <v>2</v>
      </c>
      <c r="E132" t="s">
        <v>180</v>
      </c>
      <c r="F132" t="s">
        <v>181</v>
      </c>
      <c r="G132">
        <v>1</v>
      </c>
      <c r="H132">
        <v>1</v>
      </c>
      <c r="I132" t="s">
        <v>161</v>
      </c>
      <c r="J132">
        <v>0</v>
      </c>
      <c r="K132">
        <v>0</v>
      </c>
      <c r="L132" t="s">
        <v>5</v>
      </c>
      <c r="M132" t="s">
        <v>5</v>
      </c>
      <c r="N132">
        <v>0</v>
      </c>
      <c r="O132">
        <v>1</v>
      </c>
      <c r="IF132">
        <v>-1</v>
      </c>
    </row>
    <row r="133" spans="1:240" x14ac:dyDescent="0.2">
      <c r="A133">
        <v>70</v>
      </c>
      <c r="B133">
        <v>1</v>
      </c>
      <c r="D133">
        <v>3</v>
      </c>
      <c r="E133" t="s">
        <v>182</v>
      </c>
      <c r="F133" t="s">
        <v>183</v>
      </c>
      <c r="G133">
        <v>1</v>
      </c>
      <c r="H133">
        <v>0</v>
      </c>
      <c r="I133" t="s">
        <v>161</v>
      </c>
      <c r="J133">
        <v>0</v>
      </c>
      <c r="K133">
        <v>0</v>
      </c>
      <c r="L133" t="s">
        <v>5</v>
      </c>
      <c r="M133" t="s">
        <v>5</v>
      </c>
      <c r="N133">
        <v>0</v>
      </c>
      <c r="O133">
        <v>1</v>
      </c>
      <c r="IF133">
        <v>-1</v>
      </c>
    </row>
    <row r="134" spans="1:240" x14ac:dyDescent="0.2">
      <c r="A134">
        <v>70</v>
      </c>
      <c r="B134">
        <v>1</v>
      </c>
      <c r="D134">
        <v>4</v>
      </c>
      <c r="E134" t="s">
        <v>184</v>
      </c>
      <c r="F134" t="s">
        <v>185</v>
      </c>
      <c r="G134">
        <v>1</v>
      </c>
      <c r="H134">
        <v>0</v>
      </c>
      <c r="I134" t="s">
        <v>161</v>
      </c>
      <c r="J134">
        <v>0</v>
      </c>
      <c r="K134">
        <v>0</v>
      </c>
      <c r="L134" t="s">
        <v>5</v>
      </c>
      <c r="M134" t="s">
        <v>5</v>
      </c>
      <c r="N134">
        <v>0</v>
      </c>
      <c r="O134">
        <v>1</v>
      </c>
      <c r="IF134">
        <v>-1</v>
      </c>
    </row>
    <row r="135" spans="1:240" x14ac:dyDescent="0.2">
      <c r="A135">
        <v>70</v>
      </c>
      <c r="B135">
        <v>1</v>
      </c>
      <c r="D135">
        <v>5</v>
      </c>
      <c r="E135" t="s">
        <v>186</v>
      </c>
      <c r="F135" t="s">
        <v>187</v>
      </c>
      <c r="G135">
        <v>1</v>
      </c>
      <c r="H135">
        <v>0</v>
      </c>
      <c r="I135" t="s">
        <v>161</v>
      </c>
      <c r="J135">
        <v>0</v>
      </c>
      <c r="K135">
        <v>0</v>
      </c>
      <c r="L135" t="s">
        <v>5</v>
      </c>
      <c r="M135" t="s">
        <v>5</v>
      </c>
      <c r="N135">
        <v>0</v>
      </c>
      <c r="O135">
        <v>0.85</v>
      </c>
      <c r="IF135">
        <v>-1</v>
      </c>
    </row>
    <row r="136" spans="1:240" x14ac:dyDescent="0.2">
      <c r="A136">
        <v>70</v>
      </c>
      <c r="B136">
        <v>1</v>
      </c>
      <c r="D136">
        <v>6</v>
      </c>
      <c r="E136" t="s">
        <v>188</v>
      </c>
      <c r="F136" t="s">
        <v>189</v>
      </c>
      <c r="G136">
        <v>1</v>
      </c>
      <c r="H136">
        <v>0</v>
      </c>
      <c r="I136" t="s">
        <v>161</v>
      </c>
      <c r="J136">
        <v>0</v>
      </c>
      <c r="K136">
        <v>0</v>
      </c>
      <c r="L136" t="s">
        <v>5</v>
      </c>
      <c r="M136" t="s">
        <v>5</v>
      </c>
      <c r="N136">
        <v>0</v>
      </c>
      <c r="O136">
        <v>0.8</v>
      </c>
      <c r="IF136">
        <v>-1</v>
      </c>
    </row>
    <row r="137" spans="1:240" x14ac:dyDescent="0.2">
      <c r="A137">
        <v>70</v>
      </c>
      <c r="B137">
        <v>1</v>
      </c>
      <c r="D137">
        <v>7</v>
      </c>
      <c r="E137" t="s">
        <v>190</v>
      </c>
      <c r="F137" t="s">
        <v>191</v>
      </c>
      <c r="G137">
        <v>1</v>
      </c>
      <c r="H137">
        <v>0</v>
      </c>
      <c r="I137" t="s">
        <v>161</v>
      </c>
      <c r="J137">
        <v>0</v>
      </c>
      <c r="K137">
        <v>0</v>
      </c>
      <c r="L137" t="s">
        <v>5</v>
      </c>
      <c r="M137" t="s">
        <v>5</v>
      </c>
      <c r="N137">
        <v>0</v>
      </c>
      <c r="O137">
        <v>1</v>
      </c>
      <c r="IF137">
        <v>-1</v>
      </c>
    </row>
    <row r="138" spans="1:240" x14ac:dyDescent="0.2">
      <c r="A138">
        <v>70</v>
      </c>
      <c r="B138">
        <v>1</v>
      </c>
      <c r="D138">
        <v>8</v>
      </c>
      <c r="E138" t="s">
        <v>192</v>
      </c>
      <c r="F138" t="s">
        <v>193</v>
      </c>
      <c r="G138">
        <v>1</v>
      </c>
      <c r="H138">
        <v>0.8</v>
      </c>
      <c r="I138" t="s">
        <v>161</v>
      </c>
      <c r="J138">
        <v>0</v>
      </c>
      <c r="K138">
        <v>0</v>
      </c>
      <c r="L138" t="s">
        <v>5</v>
      </c>
      <c r="M138" t="s">
        <v>5</v>
      </c>
      <c r="N138">
        <v>0</v>
      </c>
      <c r="O138">
        <v>1</v>
      </c>
      <c r="IF138">
        <v>-1</v>
      </c>
    </row>
    <row r="139" spans="1:240" x14ac:dyDescent="0.2">
      <c r="A139">
        <v>70</v>
      </c>
      <c r="B139">
        <v>1</v>
      </c>
      <c r="D139">
        <v>9</v>
      </c>
      <c r="E139" t="s">
        <v>194</v>
      </c>
      <c r="F139" t="s">
        <v>195</v>
      </c>
      <c r="G139">
        <v>1</v>
      </c>
      <c r="H139">
        <v>0.85</v>
      </c>
      <c r="I139" t="s">
        <v>161</v>
      </c>
      <c r="J139">
        <v>0</v>
      </c>
      <c r="K139">
        <v>0</v>
      </c>
      <c r="L139" t="s">
        <v>5</v>
      </c>
      <c r="M139" t="s">
        <v>5</v>
      </c>
      <c r="N139">
        <v>0</v>
      </c>
      <c r="O139">
        <v>1</v>
      </c>
      <c r="IF139">
        <v>-1</v>
      </c>
    </row>
    <row r="140" spans="1:240" x14ac:dyDescent="0.2">
      <c r="A140">
        <v>70</v>
      </c>
      <c r="B140">
        <v>1</v>
      </c>
      <c r="D140">
        <v>10</v>
      </c>
      <c r="E140" t="s">
        <v>196</v>
      </c>
      <c r="F140" t="s">
        <v>197</v>
      </c>
      <c r="G140">
        <v>1</v>
      </c>
      <c r="H140">
        <v>0</v>
      </c>
      <c r="I140" t="s">
        <v>161</v>
      </c>
      <c r="J140">
        <v>0</v>
      </c>
      <c r="K140">
        <v>0</v>
      </c>
      <c r="L140" t="s">
        <v>5</v>
      </c>
      <c r="M140" t="s">
        <v>5</v>
      </c>
      <c r="N140">
        <v>0</v>
      </c>
      <c r="O140">
        <v>1</v>
      </c>
      <c r="IF140">
        <v>-1</v>
      </c>
    </row>
    <row r="141" spans="1:240" x14ac:dyDescent="0.2">
      <c r="A141">
        <v>70</v>
      </c>
      <c r="B141">
        <v>1</v>
      </c>
      <c r="D141">
        <v>11</v>
      </c>
      <c r="E141" t="s">
        <v>198</v>
      </c>
      <c r="F141" t="s">
        <v>199</v>
      </c>
      <c r="G141">
        <v>1</v>
      </c>
      <c r="H141">
        <v>0</v>
      </c>
      <c r="I141" t="s">
        <v>161</v>
      </c>
      <c r="J141">
        <v>0</v>
      </c>
      <c r="K141">
        <v>0</v>
      </c>
      <c r="L141" t="s">
        <v>5</v>
      </c>
      <c r="M141" t="s">
        <v>5</v>
      </c>
      <c r="N141">
        <v>0</v>
      </c>
      <c r="O141">
        <v>0.94</v>
      </c>
      <c r="IF141">
        <v>-1</v>
      </c>
    </row>
    <row r="142" spans="1:240" x14ac:dyDescent="0.2">
      <c r="A142">
        <v>70</v>
      </c>
      <c r="B142">
        <v>1</v>
      </c>
      <c r="D142">
        <v>12</v>
      </c>
      <c r="E142" t="s">
        <v>200</v>
      </c>
      <c r="F142" t="s">
        <v>201</v>
      </c>
      <c r="G142">
        <v>1</v>
      </c>
      <c r="H142">
        <v>0</v>
      </c>
      <c r="I142" t="s">
        <v>161</v>
      </c>
      <c r="J142">
        <v>0</v>
      </c>
      <c r="K142">
        <v>0</v>
      </c>
      <c r="L142" t="s">
        <v>5</v>
      </c>
      <c r="M142" t="s">
        <v>5</v>
      </c>
      <c r="N142">
        <v>0</v>
      </c>
      <c r="O142">
        <v>0.9</v>
      </c>
      <c r="IF142">
        <v>-1</v>
      </c>
    </row>
    <row r="143" spans="1:240" x14ac:dyDescent="0.2">
      <c r="A143">
        <v>70</v>
      </c>
      <c r="B143">
        <v>1</v>
      </c>
      <c r="D143">
        <v>13</v>
      </c>
      <c r="E143" t="s">
        <v>202</v>
      </c>
      <c r="F143" t="s">
        <v>203</v>
      </c>
      <c r="G143">
        <v>0.6</v>
      </c>
      <c r="H143">
        <v>0</v>
      </c>
      <c r="I143" t="s">
        <v>161</v>
      </c>
      <c r="J143">
        <v>0</v>
      </c>
      <c r="K143">
        <v>0</v>
      </c>
      <c r="L143" t="s">
        <v>5</v>
      </c>
      <c r="M143" t="s">
        <v>5</v>
      </c>
      <c r="N143">
        <v>0</v>
      </c>
      <c r="O143">
        <v>0.6</v>
      </c>
      <c r="IF143">
        <v>-1</v>
      </c>
    </row>
    <row r="144" spans="1:240" x14ac:dyDescent="0.2">
      <c r="A144">
        <v>70</v>
      </c>
      <c r="B144">
        <v>1</v>
      </c>
      <c r="D144">
        <v>14</v>
      </c>
      <c r="E144" t="s">
        <v>204</v>
      </c>
      <c r="F144" t="s">
        <v>205</v>
      </c>
      <c r="G144">
        <v>1</v>
      </c>
      <c r="H144">
        <v>0</v>
      </c>
      <c r="I144" t="s">
        <v>161</v>
      </c>
      <c r="J144">
        <v>0</v>
      </c>
      <c r="K144">
        <v>0</v>
      </c>
      <c r="L144" t="s">
        <v>5</v>
      </c>
      <c r="M144" t="s">
        <v>5</v>
      </c>
      <c r="N144">
        <v>0</v>
      </c>
      <c r="O144">
        <v>1</v>
      </c>
      <c r="IF144">
        <v>-1</v>
      </c>
    </row>
    <row r="145" spans="1:240" x14ac:dyDescent="0.2">
      <c r="A145">
        <v>70</v>
      </c>
      <c r="B145">
        <v>1</v>
      </c>
      <c r="D145">
        <v>15</v>
      </c>
      <c r="E145" t="s">
        <v>206</v>
      </c>
      <c r="F145" t="s">
        <v>207</v>
      </c>
      <c r="G145">
        <v>1.2</v>
      </c>
      <c r="H145">
        <v>0</v>
      </c>
      <c r="I145" t="s">
        <v>161</v>
      </c>
      <c r="J145">
        <v>0</v>
      </c>
      <c r="K145">
        <v>0</v>
      </c>
      <c r="L145" t="s">
        <v>5</v>
      </c>
      <c r="M145" t="s">
        <v>5</v>
      </c>
      <c r="N145">
        <v>0</v>
      </c>
      <c r="O145">
        <v>1.2</v>
      </c>
      <c r="IF145">
        <v>-1</v>
      </c>
    </row>
    <row r="146" spans="1:240" x14ac:dyDescent="0.2">
      <c r="A146">
        <v>70</v>
      </c>
      <c r="B146">
        <v>1</v>
      </c>
      <c r="D146">
        <v>16</v>
      </c>
      <c r="E146" t="s">
        <v>208</v>
      </c>
      <c r="F146" t="s">
        <v>209</v>
      </c>
      <c r="G146">
        <v>1</v>
      </c>
      <c r="H146">
        <v>0</v>
      </c>
      <c r="I146" t="s">
        <v>161</v>
      </c>
      <c r="J146">
        <v>0</v>
      </c>
      <c r="K146">
        <v>0</v>
      </c>
      <c r="L146" t="s">
        <v>5</v>
      </c>
      <c r="M146" t="s">
        <v>5</v>
      </c>
      <c r="N146">
        <v>0</v>
      </c>
      <c r="O146">
        <v>1</v>
      </c>
      <c r="IF146">
        <v>-1</v>
      </c>
    </row>
    <row r="147" spans="1:240" x14ac:dyDescent="0.2">
      <c r="A147">
        <v>70</v>
      </c>
      <c r="B147">
        <v>1</v>
      </c>
      <c r="D147">
        <v>17</v>
      </c>
      <c r="E147" t="s">
        <v>210</v>
      </c>
      <c r="F147" t="s">
        <v>211</v>
      </c>
      <c r="G147">
        <v>1</v>
      </c>
      <c r="H147">
        <v>0</v>
      </c>
      <c r="I147" t="s">
        <v>161</v>
      </c>
      <c r="J147">
        <v>0</v>
      </c>
      <c r="K147">
        <v>0</v>
      </c>
      <c r="L147" t="s">
        <v>5</v>
      </c>
      <c r="M147" t="s">
        <v>5</v>
      </c>
      <c r="N147">
        <v>0</v>
      </c>
      <c r="O147">
        <v>1</v>
      </c>
      <c r="IF147">
        <v>-1</v>
      </c>
    </row>
    <row r="148" spans="1:240" x14ac:dyDescent="0.2">
      <c r="A148">
        <v>70</v>
      </c>
      <c r="B148">
        <v>1</v>
      </c>
      <c r="D148">
        <v>18</v>
      </c>
      <c r="E148" t="s">
        <v>212</v>
      </c>
      <c r="F148" t="s">
        <v>213</v>
      </c>
      <c r="G148">
        <v>1</v>
      </c>
      <c r="H148">
        <v>0</v>
      </c>
      <c r="I148" t="s">
        <v>161</v>
      </c>
      <c r="J148">
        <v>0</v>
      </c>
      <c r="K148">
        <v>0</v>
      </c>
      <c r="L148" t="s">
        <v>5</v>
      </c>
      <c r="M148" t="s">
        <v>5</v>
      </c>
      <c r="N148">
        <v>0</v>
      </c>
      <c r="O148">
        <v>1</v>
      </c>
      <c r="IF148">
        <v>-1</v>
      </c>
    </row>
    <row r="149" spans="1:240" x14ac:dyDescent="0.2">
      <c r="A149">
        <v>70</v>
      </c>
      <c r="B149">
        <v>1</v>
      </c>
      <c r="D149">
        <v>19</v>
      </c>
      <c r="E149" t="s">
        <v>214</v>
      </c>
      <c r="F149" t="s">
        <v>211</v>
      </c>
      <c r="G149">
        <v>1</v>
      </c>
      <c r="H149">
        <v>0</v>
      </c>
      <c r="I149" t="s">
        <v>161</v>
      </c>
      <c r="J149">
        <v>0</v>
      </c>
      <c r="K149">
        <v>0</v>
      </c>
      <c r="L149" t="s">
        <v>5</v>
      </c>
      <c r="M149" t="s">
        <v>5</v>
      </c>
      <c r="N149">
        <v>0</v>
      </c>
      <c r="O149">
        <v>1</v>
      </c>
      <c r="IF149">
        <v>-1</v>
      </c>
    </row>
    <row r="150" spans="1:240" x14ac:dyDescent="0.2">
      <c r="A150">
        <v>70</v>
      </c>
      <c r="B150">
        <v>1</v>
      </c>
      <c r="D150">
        <v>20</v>
      </c>
      <c r="E150" t="s">
        <v>215</v>
      </c>
      <c r="F150" t="s">
        <v>213</v>
      </c>
      <c r="G150">
        <v>1</v>
      </c>
      <c r="H150">
        <v>0</v>
      </c>
      <c r="I150" t="s">
        <v>161</v>
      </c>
      <c r="J150">
        <v>0</v>
      </c>
      <c r="K150">
        <v>0</v>
      </c>
      <c r="L150" t="s">
        <v>5</v>
      </c>
      <c r="M150" t="s">
        <v>5</v>
      </c>
      <c r="N150">
        <v>0</v>
      </c>
      <c r="O150">
        <v>1</v>
      </c>
      <c r="IF150">
        <v>-1</v>
      </c>
    </row>
    <row r="151" spans="1:240" x14ac:dyDescent="0.2">
      <c r="A151">
        <v>70</v>
      </c>
      <c r="B151">
        <v>1</v>
      </c>
      <c r="D151">
        <v>21</v>
      </c>
      <c r="E151" t="s">
        <v>216</v>
      </c>
      <c r="F151" t="s">
        <v>217</v>
      </c>
      <c r="G151">
        <v>0</v>
      </c>
      <c r="H151">
        <v>0</v>
      </c>
      <c r="I151" t="s">
        <v>161</v>
      </c>
      <c r="J151">
        <v>0</v>
      </c>
      <c r="K151">
        <v>0</v>
      </c>
      <c r="L151" t="s">
        <v>5</v>
      </c>
      <c r="M151" t="s">
        <v>5</v>
      </c>
      <c r="N151">
        <v>0</v>
      </c>
      <c r="O151">
        <v>0</v>
      </c>
      <c r="IF151">
        <v>-1</v>
      </c>
    </row>
    <row r="152" spans="1:240" x14ac:dyDescent="0.2">
      <c r="IF152">
        <v>-1</v>
      </c>
    </row>
    <row r="153" spans="1:240" x14ac:dyDescent="0.2">
      <c r="A153">
        <v>-1</v>
      </c>
      <c r="IF153">
        <v>-1</v>
      </c>
    </row>
    <row r="154" spans="1:240" x14ac:dyDescent="0.2">
      <c r="IF154">
        <v>-1</v>
      </c>
    </row>
    <row r="155" spans="1:240" x14ac:dyDescent="0.2">
      <c r="A155" s="4">
        <v>75</v>
      </c>
      <c r="B155" s="4" t="s">
        <v>218</v>
      </c>
      <c r="C155" s="4">
        <v>2000</v>
      </c>
      <c r="D155" s="4">
        <v>0</v>
      </c>
      <c r="E155" s="4">
        <v>1</v>
      </c>
      <c r="F155" s="4">
        <v>0</v>
      </c>
      <c r="G155" s="4">
        <v>0</v>
      </c>
      <c r="H155" s="4">
        <v>1</v>
      </c>
      <c r="I155" s="4">
        <v>0</v>
      </c>
      <c r="J155" s="4">
        <v>4</v>
      </c>
      <c r="K155" s="4">
        <v>0</v>
      </c>
      <c r="L155" s="4">
        <v>0</v>
      </c>
      <c r="M155" s="4">
        <v>0</v>
      </c>
      <c r="N155" s="4">
        <v>34763685</v>
      </c>
      <c r="O155" s="4">
        <v>1</v>
      </c>
      <c r="IF155">
        <v>-1</v>
      </c>
    </row>
    <row r="156" spans="1:240" x14ac:dyDescent="0.2">
      <c r="A156" s="4">
        <v>75</v>
      </c>
      <c r="B156" s="4" t="s">
        <v>219</v>
      </c>
      <c r="C156" s="4">
        <v>2019</v>
      </c>
      <c r="D156" s="4">
        <v>1</v>
      </c>
      <c r="E156" s="4">
        <v>0</v>
      </c>
      <c r="F156" s="4">
        <v>0</v>
      </c>
      <c r="G156" s="4">
        <v>0</v>
      </c>
      <c r="H156" s="4">
        <v>1</v>
      </c>
      <c r="I156" s="4">
        <v>0</v>
      </c>
      <c r="J156" s="4">
        <v>4</v>
      </c>
      <c r="K156" s="4">
        <v>0</v>
      </c>
      <c r="L156" s="4">
        <v>0</v>
      </c>
      <c r="M156" s="4">
        <v>1</v>
      </c>
      <c r="N156" s="4">
        <v>34763707</v>
      </c>
      <c r="O156" s="4">
        <v>2</v>
      </c>
      <c r="IF156">
        <v>-1</v>
      </c>
    </row>
    <row r="157" spans="1:240" x14ac:dyDescent="0.2">
      <c r="A157" s="6">
        <v>3</v>
      </c>
      <c r="B157" s="6" t="s">
        <v>220</v>
      </c>
      <c r="C157" s="6">
        <v>6.78</v>
      </c>
      <c r="D157" s="6">
        <v>1</v>
      </c>
      <c r="E157" s="6">
        <v>1</v>
      </c>
      <c r="F157" s="6">
        <v>1</v>
      </c>
      <c r="G157" s="6">
        <v>1</v>
      </c>
      <c r="H157" s="6">
        <v>6.78</v>
      </c>
      <c r="I157" s="6">
        <v>6.78</v>
      </c>
      <c r="J157" s="6">
        <v>1</v>
      </c>
      <c r="K157" s="6">
        <v>12.4</v>
      </c>
      <c r="L157" s="6">
        <v>5.74</v>
      </c>
      <c r="M157" s="6">
        <v>6.78</v>
      </c>
      <c r="N157" s="6">
        <v>1</v>
      </c>
      <c r="O157" s="6">
        <v>6.78</v>
      </c>
      <c r="P157" s="6">
        <v>6.78</v>
      </c>
      <c r="Q157" s="6">
        <v>12.4</v>
      </c>
      <c r="R157" s="6">
        <v>5.74</v>
      </c>
      <c r="S157" s="6" t="s">
        <v>5</v>
      </c>
      <c r="T157" s="6" t="s">
        <v>5</v>
      </c>
      <c r="U157" s="6" t="s">
        <v>5</v>
      </c>
      <c r="V157" s="6" t="s">
        <v>5</v>
      </c>
      <c r="W157" s="6" t="s">
        <v>5</v>
      </c>
      <c r="X157" s="6" t="s">
        <v>5</v>
      </c>
      <c r="Y157" s="6" t="s">
        <v>5</v>
      </c>
      <c r="Z157" s="6" t="s">
        <v>5</v>
      </c>
      <c r="AA157" s="6" t="s">
        <v>5</v>
      </c>
      <c r="AB157" s="6" t="s">
        <v>5</v>
      </c>
      <c r="AC157" s="6" t="s">
        <v>5</v>
      </c>
      <c r="AD157" s="6" t="s">
        <v>5</v>
      </c>
      <c r="AE157" s="6" t="s">
        <v>5</v>
      </c>
      <c r="AF157" s="6" t="s">
        <v>5</v>
      </c>
      <c r="AG157" s="6" t="s">
        <v>5</v>
      </c>
      <c r="AH157" s="6" t="s">
        <v>5</v>
      </c>
      <c r="IF157">
        <v>-1</v>
      </c>
    </row>
    <row r="158" spans="1:240" x14ac:dyDescent="0.2">
      <c r="IF158">
        <v>-1</v>
      </c>
    </row>
    <row r="159" spans="1:240" x14ac:dyDescent="0.2">
      <c r="IF159">
        <v>-1</v>
      </c>
    </row>
    <row r="160" spans="1:240" x14ac:dyDescent="0.2">
      <c r="IF160">
        <v>-1</v>
      </c>
    </row>
    <row r="161" spans="1:240" x14ac:dyDescent="0.2">
      <c r="A161">
        <v>65</v>
      </c>
      <c r="C161">
        <v>1</v>
      </c>
      <c r="D161">
        <v>0</v>
      </c>
      <c r="E161">
        <v>245</v>
      </c>
      <c r="IF161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221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35951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5</v>
      </c>
      <c r="I12" s="1">
        <v>0</v>
      </c>
      <c r="J12" s="1" t="s">
        <v>5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5</v>
      </c>
      <c r="V12" s="1">
        <v>0</v>
      </c>
      <c r="W12" s="1" t="s">
        <v>5</v>
      </c>
      <c r="X12" s="1" t="s">
        <v>5</v>
      </c>
      <c r="Y12" s="1" t="s">
        <v>5</v>
      </c>
      <c r="Z12" s="1" t="s">
        <v>5</v>
      </c>
      <c r="AA12" s="1" t="s">
        <v>5</v>
      </c>
      <c r="AB12" s="1" t="s">
        <v>5</v>
      </c>
      <c r="AC12" s="1" t="s">
        <v>5</v>
      </c>
      <c r="AD12" s="1" t="s">
        <v>5</v>
      </c>
      <c r="AE12" s="1" t="s">
        <v>5</v>
      </c>
      <c r="AF12" s="1" t="s">
        <v>5</v>
      </c>
      <c r="AG12" s="1" t="s">
        <v>5</v>
      </c>
      <c r="AH12" s="1" t="s">
        <v>5</v>
      </c>
      <c r="AI12" s="1" t="s">
        <v>5</v>
      </c>
      <c r="AJ12" s="1" t="s">
        <v>5</v>
      </c>
      <c r="AK12" s="1"/>
      <c r="AL12" s="1" t="s">
        <v>5</v>
      </c>
      <c r="AM12" s="1" t="s">
        <v>5</v>
      </c>
      <c r="AN12" s="1" t="s">
        <v>5</v>
      </c>
      <c r="AO12" s="1"/>
      <c r="AP12" s="1" t="s">
        <v>5</v>
      </c>
      <c r="AQ12" s="1" t="s">
        <v>5</v>
      </c>
      <c r="AR12" s="1" t="s">
        <v>5</v>
      </c>
      <c r="AS12" s="1"/>
      <c r="AT12" s="1"/>
      <c r="AU12" s="1"/>
      <c r="AV12" s="1"/>
      <c r="AW12" s="1"/>
      <c r="AX12" s="1" t="s">
        <v>5</v>
      </c>
      <c r="AY12" s="1" t="s">
        <v>5</v>
      </c>
      <c r="AZ12" s="1" t="s">
        <v>5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5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565256</v>
      </c>
      <c r="CI12" s="1" t="s">
        <v>5</v>
      </c>
      <c r="CJ12" s="1" t="s">
        <v>5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34763685</v>
      </c>
      <c r="E14" s="1">
        <v>34763707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(Source!F80)/1000</f>
        <v>120.73699999999999</v>
      </c>
      <c r="F16" s="8">
        <f>(Source!F81)/1000</f>
        <v>0</v>
      </c>
      <c r="G16" s="8">
        <f>(Source!F72)/1000</f>
        <v>0</v>
      </c>
      <c r="H16" s="8">
        <f>(Source!F82)/1000+(Source!F83)/1000</f>
        <v>0</v>
      </c>
      <c r="I16" s="8">
        <f>E16+F16+G16+H16</f>
        <v>120.73699999999999</v>
      </c>
      <c r="J16" s="8">
        <f>(Source!F78)/1000</f>
        <v>16.547000000000001</v>
      </c>
      <c r="T16" s="9">
        <f>(Source!P80)/1000</f>
        <v>818.577</v>
      </c>
      <c r="U16" s="9">
        <f>(Source!P81)/1000</f>
        <v>0</v>
      </c>
      <c r="V16" s="9">
        <f>(Source!P72)/1000</f>
        <v>0</v>
      </c>
      <c r="W16" s="9">
        <f>(Source!P82)/1000+(Source!P83)/1000</f>
        <v>0</v>
      </c>
      <c r="X16" s="9">
        <f>T16+U16+V16+W16</f>
        <v>818.577</v>
      </c>
      <c r="Y16" s="9">
        <f>(Source!P78)/1000</f>
        <v>112.185</v>
      </c>
      <c r="AI16" s="7">
        <v>0</v>
      </c>
      <c r="AJ16" s="7">
        <v>0</v>
      </c>
      <c r="AK16" s="7" t="s">
        <v>5</v>
      </c>
      <c r="AL16" s="7" t="s">
        <v>5</v>
      </c>
      <c r="AM16" s="7" t="s">
        <v>5</v>
      </c>
      <c r="AN16" s="7">
        <v>0</v>
      </c>
      <c r="AO16" s="7" t="s">
        <v>5</v>
      </c>
      <c r="AP16" s="7" t="s">
        <v>5</v>
      </c>
      <c r="AT16" s="8">
        <v>93765</v>
      </c>
      <c r="AU16" s="8">
        <v>74666</v>
      </c>
      <c r="AV16" s="8">
        <v>0</v>
      </c>
      <c r="AW16" s="8">
        <v>0</v>
      </c>
      <c r="AX16" s="8">
        <v>0</v>
      </c>
      <c r="AY16" s="8">
        <v>2552</v>
      </c>
      <c r="AZ16" s="8">
        <v>997</v>
      </c>
      <c r="BA16" s="8">
        <v>16547</v>
      </c>
      <c r="BB16" s="8">
        <v>120737</v>
      </c>
      <c r="BC16" s="8">
        <v>0</v>
      </c>
      <c r="BD16" s="8">
        <v>0</v>
      </c>
      <c r="BE16" s="8">
        <v>0</v>
      </c>
      <c r="BF16" s="8">
        <v>1775.4655209999999</v>
      </c>
      <c r="BG16" s="8">
        <v>85.893817000000013</v>
      </c>
      <c r="BH16" s="8">
        <v>0</v>
      </c>
      <c r="BI16" s="8">
        <v>17249</v>
      </c>
      <c r="BJ16" s="8">
        <v>9723</v>
      </c>
      <c r="BK16" s="8">
        <v>120737</v>
      </c>
      <c r="BR16" s="9">
        <v>635727</v>
      </c>
      <c r="BS16" s="9">
        <v>506233</v>
      </c>
      <c r="BT16" s="9">
        <v>0</v>
      </c>
      <c r="BU16" s="9">
        <v>0</v>
      </c>
      <c r="BV16" s="9">
        <v>0</v>
      </c>
      <c r="BW16" s="9">
        <v>17309</v>
      </c>
      <c r="BX16" s="9">
        <v>6756</v>
      </c>
      <c r="BY16" s="9">
        <v>112185</v>
      </c>
      <c r="BZ16" s="9">
        <v>818577</v>
      </c>
      <c r="CA16" s="9">
        <v>0</v>
      </c>
      <c r="CB16" s="9">
        <v>0</v>
      </c>
      <c r="CC16" s="9">
        <v>0</v>
      </c>
      <c r="CD16" s="9">
        <v>1775.4655209999999</v>
      </c>
      <c r="CE16" s="9">
        <v>85.893817000000013</v>
      </c>
      <c r="CF16" s="9">
        <v>0</v>
      </c>
      <c r="CG16" s="9">
        <v>116939</v>
      </c>
      <c r="CH16" s="9">
        <v>65911</v>
      </c>
      <c r="CI16" s="9">
        <v>818577</v>
      </c>
    </row>
    <row r="18" spans="1:40" x14ac:dyDescent="0.2">
      <c r="A18">
        <v>51</v>
      </c>
      <c r="E18" s="10">
        <f>SUMIF(A16:A17,3,E16:E17)</f>
        <v>120.73699999999999</v>
      </c>
      <c r="F18" s="10">
        <f>SUMIF(A16:A17,3,F16:F17)</f>
        <v>0</v>
      </c>
      <c r="G18" s="10">
        <f>SUMIF(A16:A17,3,G16:G17)</f>
        <v>0</v>
      </c>
      <c r="H18" s="10">
        <f>SUMIF(A16:A17,3,H16:H17)</f>
        <v>0</v>
      </c>
      <c r="I18" s="10">
        <f>SUMIF(A16:A17,3,I16:I17)</f>
        <v>120.73699999999999</v>
      </c>
      <c r="J18" s="10">
        <f>SUMIF(A16:A17,3,J16:J17)</f>
        <v>16.547000000000001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818.577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818.577</v>
      </c>
      <c r="Y18" s="3">
        <f>SUMIF(A16:A17,3,Y16:Y17)</f>
        <v>112.185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93765</v>
      </c>
      <c r="G20" s="5" t="s">
        <v>107</v>
      </c>
      <c r="H20" s="5" t="s">
        <v>108</v>
      </c>
      <c r="I20" s="5"/>
      <c r="J20" s="5"/>
      <c r="K20" s="5">
        <v>201</v>
      </c>
      <c r="L20" s="5">
        <v>1</v>
      </c>
      <c r="M20" s="5">
        <v>3</v>
      </c>
      <c r="N20" s="5" t="s">
        <v>5</v>
      </c>
      <c r="O20" s="5">
        <v>0</v>
      </c>
      <c r="P20" s="5">
        <v>635727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74666</v>
      </c>
      <c r="G21" s="5" t="s">
        <v>109</v>
      </c>
      <c r="H21" s="5" t="s">
        <v>110</v>
      </c>
      <c r="I21" s="5"/>
      <c r="J21" s="5"/>
      <c r="K21" s="5">
        <v>202</v>
      </c>
      <c r="L21" s="5">
        <v>2</v>
      </c>
      <c r="M21" s="5">
        <v>3</v>
      </c>
      <c r="N21" s="5" t="s">
        <v>5</v>
      </c>
      <c r="O21" s="5">
        <v>0</v>
      </c>
      <c r="P21" s="5">
        <v>506233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111</v>
      </c>
      <c r="H22" s="5" t="s">
        <v>112</v>
      </c>
      <c r="I22" s="5"/>
      <c r="J22" s="5"/>
      <c r="K22" s="5">
        <v>222</v>
      </c>
      <c r="L22" s="5">
        <v>3</v>
      </c>
      <c r="M22" s="5">
        <v>3</v>
      </c>
      <c r="N22" s="5" t="s">
        <v>5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74666</v>
      </c>
      <c r="G23" s="5" t="s">
        <v>113</v>
      </c>
      <c r="H23" s="5" t="s">
        <v>114</v>
      </c>
      <c r="I23" s="5"/>
      <c r="J23" s="5"/>
      <c r="K23" s="5">
        <v>225</v>
      </c>
      <c r="L23" s="5">
        <v>4</v>
      </c>
      <c r="M23" s="5">
        <v>3</v>
      </c>
      <c r="N23" s="5" t="s">
        <v>5</v>
      </c>
      <c r="O23" s="5">
        <v>0</v>
      </c>
      <c r="P23" s="5">
        <v>506233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74666</v>
      </c>
      <c r="G24" s="5" t="s">
        <v>115</v>
      </c>
      <c r="H24" s="5" t="s">
        <v>116</v>
      </c>
      <c r="I24" s="5"/>
      <c r="J24" s="5"/>
      <c r="K24" s="5">
        <v>226</v>
      </c>
      <c r="L24" s="5">
        <v>5</v>
      </c>
      <c r="M24" s="5">
        <v>3</v>
      </c>
      <c r="N24" s="5" t="s">
        <v>5</v>
      </c>
      <c r="O24" s="5">
        <v>0</v>
      </c>
      <c r="P24" s="5">
        <v>506233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117</v>
      </c>
      <c r="H25" s="5" t="s">
        <v>118</v>
      </c>
      <c r="I25" s="5"/>
      <c r="J25" s="5"/>
      <c r="K25" s="5">
        <v>227</v>
      </c>
      <c r="L25" s="5">
        <v>6</v>
      </c>
      <c r="M25" s="5">
        <v>3</v>
      </c>
      <c r="N25" s="5" t="s">
        <v>5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74666</v>
      </c>
      <c r="G26" s="5" t="s">
        <v>119</v>
      </c>
      <c r="H26" s="5" t="s">
        <v>120</v>
      </c>
      <c r="I26" s="5"/>
      <c r="J26" s="5"/>
      <c r="K26" s="5">
        <v>228</v>
      </c>
      <c r="L26" s="5">
        <v>7</v>
      </c>
      <c r="M26" s="5">
        <v>3</v>
      </c>
      <c r="N26" s="5" t="s">
        <v>5</v>
      </c>
      <c r="O26" s="5">
        <v>0</v>
      </c>
      <c r="P26" s="5">
        <v>506233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121</v>
      </c>
      <c r="H27" s="5" t="s">
        <v>122</v>
      </c>
      <c r="I27" s="5"/>
      <c r="J27" s="5"/>
      <c r="K27" s="5">
        <v>216</v>
      </c>
      <c r="L27" s="5">
        <v>8</v>
      </c>
      <c r="M27" s="5">
        <v>3</v>
      </c>
      <c r="N27" s="5" t="s">
        <v>5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123</v>
      </c>
      <c r="H28" s="5" t="s">
        <v>124</v>
      </c>
      <c r="I28" s="5"/>
      <c r="J28" s="5"/>
      <c r="K28" s="5">
        <v>223</v>
      </c>
      <c r="L28" s="5">
        <v>9</v>
      </c>
      <c r="M28" s="5">
        <v>3</v>
      </c>
      <c r="N28" s="5" t="s">
        <v>5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125</v>
      </c>
      <c r="H29" s="5" t="s">
        <v>126</v>
      </c>
      <c r="I29" s="5"/>
      <c r="J29" s="5"/>
      <c r="K29" s="5">
        <v>229</v>
      </c>
      <c r="L29" s="5">
        <v>10</v>
      </c>
      <c r="M29" s="5">
        <v>3</v>
      </c>
      <c r="N29" s="5" t="s">
        <v>5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2552</v>
      </c>
      <c r="G30" s="5" t="s">
        <v>127</v>
      </c>
      <c r="H30" s="5" t="s">
        <v>128</v>
      </c>
      <c r="I30" s="5"/>
      <c r="J30" s="5"/>
      <c r="K30" s="5">
        <v>203</v>
      </c>
      <c r="L30" s="5">
        <v>11</v>
      </c>
      <c r="M30" s="5">
        <v>3</v>
      </c>
      <c r="N30" s="5" t="s">
        <v>5</v>
      </c>
      <c r="O30" s="5">
        <v>0</v>
      </c>
      <c r="P30" s="5">
        <v>17309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129</v>
      </c>
      <c r="H31" s="5" t="s">
        <v>130</v>
      </c>
      <c r="I31" s="5"/>
      <c r="J31" s="5"/>
      <c r="K31" s="5">
        <v>231</v>
      </c>
      <c r="L31" s="5">
        <v>12</v>
      </c>
      <c r="M31" s="5">
        <v>3</v>
      </c>
      <c r="N31" s="5" t="s">
        <v>5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997</v>
      </c>
      <c r="G32" s="5" t="s">
        <v>131</v>
      </c>
      <c r="H32" s="5" t="s">
        <v>132</v>
      </c>
      <c r="I32" s="5"/>
      <c r="J32" s="5"/>
      <c r="K32" s="5">
        <v>204</v>
      </c>
      <c r="L32" s="5">
        <v>13</v>
      </c>
      <c r="M32" s="5">
        <v>3</v>
      </c>
      <c r="N32" s="5" t="s">
        <v>5</v>
      </c>
      <c r="O32" s="5">
        <v>0</v>
      </c>
      <c r="P32" s="5">
        <v>6756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16547</v>
      </c>
      <c r="G33" s="5" t="s">
        <v>133</v>
      </c>
      <c r="H33" s="5" t="s">
        <v>134</v>
      </c>
      <c r="I33" s="5"/>
      <c r="J33" s="5"/>
      <c r="K33" s="5">
        <v>205</v>
      </c>
      <c r="L33" s="5">
        <v>14</v>
      </c>
      <c r="M33" s="5">
        <v>3</v>
      </c>
      <c r="N33" s="5" t="s">
        <v>5</v>
      </c>
      <c r="O33" s="5">
        <v>0</v>
      </c>
      <c r="P33" s="5">
        <v>112185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135</v>
      </c>
      <c r="H34" s="5" t="s">
        <v>136</v>
      </c>
      <c r="I34" s="5"/>
      <c r="J34" s="5"/>
      <c r="K34" s="5">
        <v>232</v>
      </c>
      <c r="L34" s="5">
        <v>15</v>
      </c>
      <c r="M34" s="5">
        <v>3</v>
      </c>
      <c r="N34" s="5" t="s">
        <v>5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120737</v>
      </c>
      <c r="G35" s="5" t="s">
        <v>137</v>
      </c>
      <c r="H35" s="5" t="s">
        <v>138</v>
      </c>
      <c r="I35" s="5"/>
      <c r="J35" s="5"/>
      <c r="K35" s="5">
        <v>214</v>
      </c>
      <c r="L35" s="5">
        <v>16</v>
      </c>
      <c r="M35" s="5">
        <v>3</v>
      </c>
      <c r="N35" s="5" t="s">
        <v>5</v>
      </c>
      <c r="O35" s="5">
        <v>0</v>
      </c>
      <c r="P35" s="5">
        <v>818577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139</v>
      </c>
      <c r="H36" s="5" t="s">
        <v>140</v>
      </c>
      <c r="I36" s="5"/>
      <c r="J36" s="5"/>
      <c r="K36" s="5">
        <v>215</v>
      </c>
      <c r="L36" s="5">
        <v>17</v>
      </c>
      <c r="M36" s="5">
        <v>3</v>
      </c>
      <c r="N36" s="5" t="s">
        <v>5</v>
      </c>
      <c r="O36" s="5">
        <v>0</v>
      </c>
      <c r="P36" s="5">
        <v>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141</v>
      </c>
      <c r="H37" s="5" t="s">
        <v>142</v>
      </c>
      <c r="I37" s="5"/>
      <c r="J37" s="5"/>
      <c r="K37" s="5">
        <v>217</v>
      </c>
      <c r="L37" s="5">
        <v>18</v>
      </c>
      <c r="M37" s="5">
        <v>3</v>
      </c>
      <c r="N37" s="5" t="s">
        <v>5</v>
      </c>
      <c r="O37" s="5">
        <v>0</v>
      </c>
      <c r="P37" s="5">
        <v>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143</v>
      </c>
      <c r="H38" s="5" t="s">
        <v>144</v>
      </c>
      <c r="I38" s="5"/>
      <c r="J38" s="5"/>
      <c r="K38" s="5">
        <v>230</v>
      </c>
      <c r="L38" s="5">
        <v>19</v>
      </c>
      <c r="M38" s="5">
        <v>3</v>
      </c>
      <c r="N38" s="5" t="s">
        <v>5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145</v>
      </c>
      <c r="H39" s="5" t="s">
        <v>146</v>
      </c>
      <c r="I39" s="5"/>
      <c r="J39" s="5"/>
      <c r="K39" s="5">
        <v>206</v>
      </c>
      <c r="L39" s="5">
        <v>20</v>
      </c>
      <c r="M39" s="5">
        <v>3</v>
      </c>
      <c r="N39" s="5" t="s">
        <v>5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1775.4655209999999</v>
      </c>
      <c r="G40" s="5" t="s">
        <v>147</v>
      </c>
      <c r="H40" s="5" t="s">
        <v>148</v>
      </c>
      <c r="I40" s="5"/>
      <c r="J40" s="5"/>
      <c r="K40" s="5">
        <v>207</v>
      </c>
      <c r="L40" s="5">
        <v>21</v>
      </c>
      <c r="M40" s="5">
        <v>3</v>
      </c>
      <c r="N40" s="5" t="s">
        <v>5</v>
      </c>
      <c r="O40" s="5">
        <v>-1</v>
      </c>
      <c r="P40" s="5">
        <v>1775.4655209999999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85.893817000000013</v>
      </c>
      <c r="G41" s="5" t="s">
        <v>149</v>
      </c>
      <c r="H41" s="5" t="s">
        <v>150</v>
      </c>
      <c r="I41" s="5"/>
      <c r="J41" s="5"/>
      <c r="K41" s="5">
        <v>208</v>
      </c>
      <c r="L41" s="5">
        <v>22</v>
      </c>
      <c r="M41" s="5">
        <v>3</v>
      </c>
      <c r="N41" s="5" t="s">
        <v>5</v>
      </c>
      <c r="O41" s="5">
        <v>-1</v>
      </c>
      <c r="P41" s="5">
        <v>85.893817000000013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151</v>
      </c>
      <c r="H42" s="5" t="s">
        <v>152</v>
      </c>
      <c r="I42" s="5"/>
      <c r="J42" s="5"/>
      <c r="K42" s="5">
        <v>209</v>
      </c>
      <c r="L42" s="5">
        <v>23</v>
      </c>
      <c r="M42" s="5">
        <v>3</v>
      </c>
      <c r="N42" s="5" t="s">
        <v>5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17249</v>
      </c>
      <c r="G43" s="5" t="s">
        <v>153</v>
      </c>
      <c r="H43" s="5" t="s">
        <v>154</v>
      </c>
      <c r="I43" s="5"/>
      <c r="J43" s="5"/>
      <c r="K43" s="5">
        <v>210</v>
      </c>
      <c r="L43" s="5">
        <v>24</v>
      </c>
      <c r="M43" s="5">
        <v>3</v>
      </c>
      <c r="N43" s="5" t="s">
        <v>5</v>
      </c>
      <c r="O43" s="5">
        <v>0</v>
      </c>
      <c r="P43" s="5">
        <v>116939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9723</v>
      </c>
      <c r="G44" s="5" t="s">
        <v>155</v>
      </c>
      <c r="H44" s="5" t="s">
        <v>156</v>
      </c>
      <c r="I44" s="5"/>
      <c r="J44" s="5"/>
      <c r="K44" s="5">
        <v>211</v>
      </c>
      <c r="L44" s="5">
        <v>25</v>
      </c>
      <c r="M44" s="5">
        <v>3</v>
      </c>
      <c r="N44" s="5" t="s">
        <v>5</v>
      </c>
      <c r="O44" s="5">
        <v>0</v>
      </c>
      <c r="P44" s="5">
        <v>65911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120737</v>
      </c>
      <c r="G45" s="5" t="s">
        <v>157</v>
      </c>
      <c r="H45" s="5" t="s">
        <v>158</v>
      </c>
      <c r="I45" s="5"/>
      <c r="J45" s="5"/>
      <c r="K45" s="5">
        <v>224</v>
      </c>
      <c r="L45" s="5">
        <v>26</v>
      </c>
      <c r="M45" s="5">
        <v>3</v>
      </c>
      <c r="N45" s="5" t="s">
        <v>5</v>
      </c>
      <c r="O45" s="5">
        <v>0</v>
      </c>
      <c r="P45" s="5">
        <v>818577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218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34763685</v>
      </c>
      <c r="O50" s="4">
        <v>1</v>
      </c>
    </row>
    <row r="51" spans="1:34" x14ac:dyDescent="0.2">
      <c r="A51" s="4">
        <v>75</v>
      </c>
      <c r="B51" s="4" t="s">
        <v>219</v>
      </c>
      <c r="C51" s="4">
        <v>2019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34763707</v>
      </c>
      <c r="O51" s="4">
        <v>2</v>
      </c>
    </row>
    <row r="52" spans="1:34" x14ac:dyDescent="0.2">
      <c r="A52" s="6">
        <v>3</v>
      </c>
      <c r="B52" s="6" t="s">
        <v>220</v>
      </c>
      <c r="C52" s="6">
        <v>6.78</v>
      </c>
      <c r="D52" s="6">
        <v>1</v>
      </c>
      <c r="E52" s="6">
        <v>1</v>
      </c>
      <c r="F52" s="6">
        <v>1</v>
      </c>
      <c r="G52" s="6">
        <v>1</v>
      </c>
      <c r="H52" s="6">
        <v>6.78</v>
      </c>
      <c r="I52" s="6">
        <v>6.78</v>
      </c>
      <c r="J52" s="6">
        <v>1</v>
      </c>
      <c r="K52" s="6">
        <v>12.4</v>
      </c>
      <c r="L52" s="6">
        <v>5.74</v>
      </c>
      <c r="M52" s="6">
        <v>6.78</v>
      </c>
      <c r="N52" s="6">
        <v>1</v>
      </c>
      <c r="O52" s="6">
        <v>6.78</v>
      </c>
      <c r="P52" s="6">
        <v>6.78</v>
      </c>
      <c r="Q52" s="6">
        <v>12.4</v>
      </c>
      <c r="R52" s="6">
        <v>5.74</v>
      </c>
      <c r="S52" s="6" t="s">
        <v>5</v>
      </c>
      <c r="T52" s="6" t="s">
        <v>5</v>
      </c>
      <c r="U52" s="6" t="s">
        <v>5</v>
      </c>
      <c r="V52" s="6" t="s">
        <v>5</v>
      </c>
      <c r="W52" s="6" t="s">
        <v>5</v>
      </c>
      <c r="X52" s="6" t="s">
        <v>5</v>
      </c>
      <c r="Y52" s="6" t="s">
        <v>5</v>
      </c>
      <c r="Z52" s="6" t="s">
        <v>5</v>
      </c>
      <c r="AA52" s="6" t="s">
        <v>5</v>
      </c>
      <c r="AB52" s="6" t="s">
        <v>5</v>
      </c>
      <c r="AC52" s="6" t="s">
        <v>5</v>
      </c>
      <c r="AD52" s="6" t="s">
        <v>5</v>
      </c>
      <c r="AE52" s="6" t="s">
        <v>5</v>
      </c>
      <c r="AF52" s="6" t="s">
        <v>5</v>
      </c>
      <c r="AG52" s="6" t="s">
        <v>5</v>
      </c>
      <c r="AH52" s="6" t="s">
        <v>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1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200" x14ac:dyDescent="0.2">
      <c r="A1">
        <f>ROW(Source!A24)</f>
        <v>24</v>
      </c>
      <c r="B1">
        <v>34763685</v>
      </c>
      <c r="C1">
        <v>34765668</v>
      </c>
      <c r="D1">
        <v>31714194</v>
      </c>
      <c r="E1">
        <v>1</v>
      </c>
      <c r="F1">
        <v>1</v>
      </c>
      <c r="G1">
        <v>1</v>
      </c>
      <c r="H1">
        <v>1</v>
      </c>
      <c r="I1" t="s">
        <v>222</v>
      </c>
      <c r="J1" t="s">
        <v>5</v>
      </c>
      <c r="K1" t="s">
        <v>223</v>
      </c>
      <c r="L1">
        <v>1191</v>
      </c>
      <c r="N1">
        <v>1013</v>
      </c>
      <c r="O1" t="s">
        <v>224</v>
      </c>
      <c r="P1" t="s">
        <v>224</v>
      </c>
      <c r="Q1">
        <v>1</v>
      </c>
      <c r="W1">
        <v>0</v>
      </c>
      <c r="X1">
        <v>1010519658</v>
      </c>
      <c r="Y1">
        <v>43.5</v>
      </c>
      <c r="AA1">
        <v>0</v>
      </c>
      <c r="AB1">
        <v>0</v>
      </c>
      <c r="AC1">
        <v>0</v>
      </c>
      <c r="AD1">
        <v>8.64</v>
      </c>
      <c r="AE1">
        <v>0</v>
      </c>
      <c r="AF1">
        <v>0</v>
      </c>
      <c r="AG1">
        <v>0</v>
      </c>
      <c r="AH1">
        <v>8.64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5</v>
      </c>
      <c r="AT1">
        <v>43.5</v>
      </c>
      <c r="AU1" t="s">
        <v>5</v>
      </c>
      <c r="AV1">
        <v>1</v>
      </c>
      <c r="AW1">
        <v>2</v>
      </c>
      <c r="AX1">
        <v>34765669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113.6829</v>
      </c>
      <c r="CY1">
        <f>AD1</f>
        <v>8.64</v>
      </c>
      <c r="CZ1">
        <f>AH1</f>
        <v>8.64</v>
      </c>
      <c r="DA1">
        <f>AL1</f>
        <v>1</v>
      </c>
      <c r="DB1">
        <v>0</v>
      </c>
      <c r="GQ1">
        <v>-1</v>
      </c>
      <c r="GR1">
        <v>-1</v>
      </c>
    </row>
    <row r="2" spans="1:200" x14ac:dyDescent="0.2">
      <c r="A2">
        <f>ROW(Source!A24)</f>
        <v>24</v>
      </c>
      <c r="B2">
        <v>34763685</v>
      </c>
      <c r="C2">
        <v>34765668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225</v>
      </c>
      <c r="J2" t="s">
        <v>5</v>
      </c>
      <c r="K2" t="s">
        <v>226</v>
      </c>
      <c r="L2">
        <v>1191</v>
      </c>
      <c r="N2">
        <v>1013</v>
      </c>
      <c r="O2" t="s">
        <v>224</v>
      </c>
      <c r="P2" t="s">
        <v>224</v>
      </c>
      <c r="Q2">
        <v>1</v>
      </c>
      <c r="W2">
        <v>0</v>
      </c>
      <c r="X2">
        <v>-1417349443</v>
      </c>
      <c r="Y2">
        <v>7.0000000000000007E-2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5</v>
      </c>
      <c r="AT2">
        <v>7.0000000000000007E-2</v>
      </c>
      <c r="AU2" t="s">
        <v>5</v>
      </c>
      <c r="AV2">
        <v>2</v>
      </c>
      <c r="AW2">
        <v>2</v>
      </c>
      <c r="AX2">
        <v>34765670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0.18293800000000002</v>
      </c>
      <c r="CY2">
        <f>AD2</f>
        <v>0</v>
      </c>
      <c r="CZ2">
        <f>AH2</f>
        <v>0</v>
      </c>
      <c r="DA2">
        <f>AL2</f>
        <v>1</v>
      </c>
      <c r="DB2">
        <v>0</v>
      </c>
      <c r="GQ2">
        <v>-1</v>
      </c>
      <c r="GR2">
        <v>-1</v>
      </c>
    </row>
    <row r="3" spans="1:200" x14ac:dyDescent="0.2">
      <c r="A3">
        <f>ROW(Source!A24)</f>
        <v>24</v>
      </c>
      <c r="B3">
        <v>34763685</v>
      </c>
      <c r="C3">
        <v>34765668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227</v>
      </c>
      <c r="J3" t="s">
        <v>228</v>
      </c>
      <c r="K3" t="s">
        <v>229</v>
      </c>
      <c r="L3">
        <v>1368</v>
      </c>
      <c r="N3">
        <v>1011</v>
      </c>
      <c r="O3" t="s">
        <v>230</v>
      </c>
      <c r="P3" t="s">
        <v>230</v>
      </c>
      <c r="Q3">
        <v>1</v>
      </c>
      <c r="W3">
        <v>0</v>
      </c>
      <c r="X3">
        <v>1372534845</v>
      </c>
      <c r="Y3">
        <v>7.0000000000000007E-2</v>
      </c>
      <c r="AA3">
        <v>0</v>
      </c>
      <c r="AB3">
        <v>65.709999999999994</v>
      </c>
      <c r="AC3">
        <v>11.6</v>
      </c>
      <c r="AD3">
        <v>0</v>
      </c>
      <c r="AE3">
        <v>0</v>
      </c>
      <c r="AF3">
        <v>65.709999999999994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5</v>
      </c>
      <c r="AT3">
        <v>7.0000000000000007E-2</v>
      </c>
      <c r="AU3" t="s">
        <v>5</v>
      </c>
      <c r="AV3">
        <v>0</v>
      </c>
      <c r="AW3">
        <v>2</v>
      </c>
      <c r="AX3">
        <v>34765671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0.18293800000000002</v>
      </c>
      <c r="CY3">
        <f>AB3</f>
        <v>65.709999999999994</v>
      </c>
      <c r="CZ3">
        <f>AF3</f>
        <v>65.709999999999994</v>
      </c>
      <c r="DA3">
        <f>AJ3</f>
        <v>1</v>
      </c>
      <c r="DB3">
        <v>0</v>
      </c>
      <c r="GQ3">
        <v>-1</v>
      </c>
      <c r="GR3">
        <v>-1</v>
      </c>
    </row>
    <row r="4" spans="1:200" x14ac:dyDescent="0.2">
      <c r="A4">
        <f>ROW(Source!A24)</f>
        <v>24</v>
      </c>
      <c r="B4">
        <v>34763685</v>
      </c>
      <c r="C4">
        <v>34765668</v>
      </c>
      <c r="D4">
        <v>31476345</v>
      </c>
      <c r="E4">
        <v>1</v>
      </c>
      <c r="F4">
        <v>1</v>
      </c>
      <c r="G4">
        <v>1</v>
      </c>
      <c r="H4">
        <v>3</v>
      </c>
      <c r="I4" t="s">
        <v>231</v>
      </c>
      <c r="J4" t="s">
        <v>232</v>
      </c>
      <c r="K4" t="s">
        <v>233</v>
      </c>
      <c r="L4">
        <v>1327</v>
      </c>
      <c r="N4">
        <v>1005</v>
      </c>
      <c r="O4" t="s">
        <v>85</v>
      </c>
      <c r="P4" t="s">
        <v>85</v>
      </c>
      <c r="Q4">
        <v>1</v>
      </c>
      <c r="W4">
        <v>0</v>
      </c>
      <c r="X4">
        <v>-995787451</v>
      </c>
      <c r="Y4">
        <v>3.4</v>
      </c>
      <c r="AA4">
        <v>35.22</v>
      </c>
      <c r="AB4">
        <v>0</v>
      </c>
      <c r="AC4">
        <v>0</v>
      </c>
      <c r="AD4">
        <v>0</v>
      </c>
      <c r="AE4">
        <v>35.22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5</v>
      </c>
      <c r="AT4">
        <v>3.4</v>
      </c>
      <c r="AU4" t="s">
        <v>5</v>
      </c>
      <c r="AV4">
        <v>0</v>
      </c>
      <c r="AW4">
        <v>2</v>
      </c>
      <c r="AX4">
        <v>34765674</v>
      </c>
      <c r="AY4">
        <v>1</v>
      </c>
      <c r="AZ4">
        <v>0</v>
      </c>
      <c r="BA4">
        <v>6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8.8855599999999999</v>
      </c>
      <c r="CY4">
        <f>AA4</f>
        <v>35.22</v>
      </c>
      <c r="CZ4">
        <f>AE4</f>
        <v>35.22</v>
      </c>
      <c r="DA4">
        <f>AI4</f>
        <v>1</v>
      </c>
      <c r="DB4">
        <v>0</v>
      </c>
      <c r="DH4">
        <f>Source!I24*SmtRes!Y4</f>
        <v>8.8855599999999999</v>
      </c>
      <c r="DI4">
        <f>AA4</f>
        <v>35.22</v>
      </c>
      <c r="DJ4">
        <f>EtalonRes!Y6</f>
        <v>35.22</v>
      </c>
      <c r="DK4">
        <f>Source!BC24</f>
        <v>1</v>
      </c>
      <c r="GQ4">
        <v>-1</v>
      </c>
      <c r="GR4">
        <v>-1</v>
      </c>
    </row>
    <row r="5" spans="1:200" x14ac:dyDescent="0.2">
      <c r="A5">
        <f>ROW(Source!A25)</f>
        <v>25</v>
      </c>
      <c r="B5">
        <v>34763707</v>
      </c>
      <c r="C5">
        <v>34765668</v>
      </c>
      <c r="D5">
        <v>31714194</v>
      </c>
      <c r="E5">
        <v>1</v>
      </c>
      <c r="F5">
        <v>1</v>
      </c>
      <c r="G5">
        <v>1</v>
      </c>
      <c r="H5">
        <v>1</v>
      </c>
      <c r="I5" t="s">
        <v>222</v>
      </c>
      <c r="J5" t="s">
        <v>5</v>
      </c>
      <c r="K5" t="s">
        <v>223</v>
      </c>
      <c r="L5">
        <v>1191</v>
      </c>
      <c r="N5">
        <v>1013</v>
      </c>
      <c r="O5" t="s">
        <v>224</v>
      </c>
      <c r="P5" t="s">
        <v>224</v>
      </c>
      <c r="Q5">
        <v>1</v>
      </c>
      <c r="W5">
        <v>0</v>
      </c>
      <c r="X5">
        <v>1010519658</v>
      </c>
      <c r="Y5">
        <v>43.5</v>
      </c>
      <c r="AA5">
        <v>0</v>
      </c>
      <c r="AB5">
        <v>0</v>
      </c>
      <c r="AC5">
        <v>0</v>
      </c>
      <c r="AD5">
        <v>58.58</v>
      </c>
      <c r="AE5">
        <v>0</v>
      </c>
      <c r="AF5">
        <v>0</v>
      </c>
      <c r="AG5">
        <v>0</v>
      </c>
      <c r="AH5">
        <v>8.64</v>
      </c>
      <c r="AI5">
        <v>1</v>
      </c>
      <c r="AJ5">
        <v>1</v>
      </c>
      <c r="AK5">
        <v>1</v>
      </c>
      <c r="AL5">
        <v>6.78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5</v>
      </c>
      <c r="AT5">
        <v>43.5</v>
      </c>
      <c r="AU5" t="s">
        <v>5</v>
      </c>
      <c r="AV5">
        <v>1</v>
      </c>
      <c r="AW5">
        <v>2</v>
      </c>
      <c r="AX5">
        <v>34765669</v>
      </c>
      <c r="AY5">
        <v>1</v>
      </c>
      <c r="AZ5">
        <v>0</v>
      </c>
      <c r="BA5">
        <v>7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113.6829</v>
      </c>
      <c r="CY5">
        <f>AD5</f>
        <v>58.58</v>
      </c>
      <c r="CZ5">
        <f>AH5</f>
        <v>8.64</v>
      </c>
      <c r="DA5">
        <f>AL5</f>
        <v>6.78</v>
      </c>
      <c r="DB5">
        <v>0</v>
      </c>
      <c r="GQ5">
        <v>-1</v>
      </c>
      <c r="GR5">
        <v>-1</v>
      </c>
    </row>
    <row r="6" spans="1:200" x14ac:dyDescent="0.2">
      <c r="A6">
        <f>ROW(Source!A25)</f>
        <v>25</v>
      </c>
      <c r="B6">
        <v>34763707</v>
      </c>
      <c r="C6">
        <v>34765668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225</v>
      </c>
      <c r="J6" t="s">
        <v>5</v>
      </c>
      <c r="K6" t="s">
        <v>226</v>
      </c>
      <c r="L6">
        <v>1191</v>
      </c>
      <c r="N6">
        <v>1013</v>
      </c>
      <c r="O6" t="s">
        <v>224</v>
      </c>
      <c r="P6" t="s">
        <v>224</v>
      </c>
      <c r="Q6">
        <v>1</v>
      </c>
      <c r="W6">
        <v>0</v>
      </c>
      <c r="X6">
        <v>-1417349443</v>
      </c>
      <c r="Y6">
        <v>7.0000000000000007E-2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6.78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5</v>
      </c>
      <c r="AT6">
        <v>7.0000000000000007E-2</v>
      </c>
      <c r="AU6" t="s">
        <v>5</v>
      </c>
      <c r="AV6">
        <v>2</v>
      </c>
      <c r="AW6">
        <v>2</v>
      </c>
      <c r="AX6">
        <v>34765670</v>
      </c>
      <c r="AY6">
        <v>1</v>
      </c>
      <c r="AZ6">
        <v>0</v>
      </c>
      <c r="BA6">
        <v>8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0.18293800000000002</v>
      </c>
      <c r="CY6">
        <f>AD6</f>
        <v>0</v>
      </c>
      <c r="CZ6">
        <f>AH6</f>
        <v>0</v>
      </c>
      <c r="DA6">
        <f>AL6</f>
        <v>1</v>
      </c>
      <c r="DB6">
        <v>0</v>
      </c>
      <c r="GQ6">
        <v>-1</v>
      </c>
      <c r="GR6">
        <v>-1</v>
      </c>
    </row>
    <row r="7" spans="1:200" x14ac:dyDescent="0.2">
      <c r="A7">
        <f>ROW(Source!A25)</f>
        <v>25</v>
      </c>
      <c r="B7">
        <v>34763707</v>
      </c>
      <c r="C7">
        <v>34765668</v>
      </c>
      <c r="D7">
        <v>31528142</v>
      </c>
      <c r="E7">
        <v>1</v>
      </c>
      <c r="F7">
        <v>1</v>
      </c>
      <c r="G7">
        <v>1</v>
      </c>
      <c r="H7">
        <v>2</v>
      </c>
      <c r="I7" t="s">
        <v>227</v>
      </c>
      <c r="J7" t="s">
        <v>228</v>
      </c>
      <c r="K7" t="s">
        <v>229</v>
      </c>
      <c r="L7">
        <v>1368</v>
      </c>
      <c r="N7">
        <v>1011</v>
      </c>
      <c r="O7" t="s">
        <v>230</v>
      </c>
      <c r="P7" t="s">
        <v>230</v>
      </c>
      <c r="Q7">
        <v>1</v>
      </c>
      <c r="W7">
        <v>0</v>
      </c>
      <c r="X7">
        <v>1372534845</v>
      </c>
      <c r="Y7">
        <v>7.0000000000000007E-2</v>
      </c>
      <c r="AA7">
        <v>0</v>
      </c>
      <c r="AB7">
        <v>445.51</v>
      </c>
      <c r="AC7">
        <v>11.6</v>
      </c>
      <c r="AD7">
        <v>0</v>
      </c>
      <c r="AE7">
        <v>0</v>
      </c>
      <c r="AF7">
        <v>65.709999999999994</v>
      </c>
      <c r="AG7">
        <v>11.6</v>
      </c>
      <c r="AH7">
        <v>0</v>
      </c>
      <c r="AI7">
        <v>1</v>
      </c>
      <c r="AJ7">
        <v>6.78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5</v>
      </c>
      <c r="AT7">
        <v>7.0000000000000007E-2</v>
      </c>
      <c r="AU7" t="s">
        <v>5</v>
      </c>
      <c r="AV7">
        <v>0</v>
      </c>
      <c r="AW7">
        <v>2</v>
      </c>
      <c r="AX7">
        <v>34765671</v>
      </c>
      <c r="AY7">
        <v>1</v>
      </c>
      <c r="AZ7">
        <v>0</v>
      </c>
      <c r="BA7">
        <v>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0.18293800000000002</v>
      </c>
      <c r="CY7">
        <f>AB7</f>
        <v>445.51</v>
      </c>
      <c r="CZ7">
        <f>AF7</f>
        <v>65.709999999999994</v>
      </c>
      <c r="DA7">
        <f>AJ7</f>
        <v>6.78</v>
      </c>
      <c r="DB7">
        <v>0</v>
      </c>
      <c r="GQ7">
        <v>-1</v>
      </c>
      <c r="GR7">
        <v>-1</v>
      </c>
    </row>
    <row r="8" spans="1:200" x14ac:dyDescent="0.2">
      <c r="A8">
        <f>ROW(Source!A25)</f>
        <v>25</v>
      </c>
      <c r="B8">
        <v>34763707</v>
      </c>
      <c r="C8">
        <v>34765668</v>
      </c>
      <c r="D8">
        <v>31476345</v>
      </c>
      <c r="E8">
        <v>1</v>
      </c>
      <c r="F8">
        <v>1</v>
      </c>
      <c r="G8">
        <v>1</v>
      </c>
      <c r="H8">
        <v>3</v>
      </c>
      <c r="I8" t="s">
        <v>231</v>
      </c>
      <c r="J8" t="s">
        <v>232</v>
      </c>
      <c r="K8" t="s">
        <v>233</v>
      </c>
      <c r="L8">
        <v>1327</v>
      </c>
      <c r="N8">
        <v>1005</v>
      </c>
      <c r="O8" t="s">
        <v>85</v>
      </c>
      <c r="P8" t="s">
        <v>85</v>
      </c>
      <c r="Q8">
        <v>1</v>
      </c>
      <c r="W8">
        <v>0</v>
      </c>
      <c r="X8">
        <v>-995787451</v>
      </c>
      <c r="Y8">
        <v>3.4</v>
      </c>
      <c r="AA8">
        <v>238.79</v>
      </c>
      <c r="AB8">
        <v>0</v>
      </c>
      <c r="AC8">
        <v>0</v>
      </c>
      <c r="AD8">
        <v>0</v>
      </c>
      <c r="AE8">
        <v>35.22</v>
      </c>
      <c r="AF8">
        <v>0</v>
      </c>
      <c r="AG8">
        <v>0</v>
      </c>
      <c r="AH8">
        <v>0</v>
      </c>
      <c r="AI8">
        <v>6.78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5</v>
      </c>
      <c r="AT8">
        <v>3.4</v>
      </c>
      <c r="AU8" t="s">
        <v>5</v>
      </c>
      <c r="AV8">
        <v>0</v>
      </c>
      <c r="AW8">
        <v>2</v>
      </c>
      <c r="AX8">
        <v>34765674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8.8855599999999999</v>
      </c>
      <c r="CY8">
        <f>AA8</f>
        <v>238.79</v>
      </c>
      <c r="CZ8">
        <f>AE8</f>
        <v>35.22</v>
      </c>
      <c r="DA8">
        <f>AI8</f>
        <v>6.78</v>
      </c>
      <c r="DB8">
        <v>0</v>
      </c>
      <c r="DH8">
        <f>Source!I25*SmtRes!Y8</f>
        <v>8.8855599999999999</v>
      </c>
      <c r="DI8">
        <f>AA8</f>
        <v>238.79</v>
      </c>
      <c r="DJ8">
        <f>EtalonRes!Y12</f>
        <v>35.22</v>
      </c>
      <c r="DK8">
        <f>Source!BC25</f>
        <v>6.78</v>
      </c>
      <c r="GQ8">
        <v>-1</v>
      </c>
      <c r="GR8">
        <v>-1</v>
      </c>
    </row>
    <row r="9" spans="1:200" x14ac:dyDescent="0.2">
      <c r="A9">
        <f>ROW(Source!A26)</f>
        <v>26</v>
      </c>
      <c r="B9">
        <v>34763685</v>
      </c>
      <c r="C9">
        <v>34765677</v>
      </c>
      <c r="D9">
        <v>31709544</v>
      </c>
      <c r="E9">
        <v>1</v>
      </c>
      <c r="F9">
        <v>1</v>
      </c>
      <c r="G9">
        <v>1</v>
      </c>
      <c r="H9">
        <v>1</v>
      </c>
      <c r="I9" t="s">
        <v>234</v>
      </c>
      <c r="J9" t="s">
        <v>5</v>
      </c>
      <c r="K9" t="s">
        <v>235</v>
      </c>
      <c r="L9">
        <v>1191</v>
      </c>
      <c r="N9">
        <v>1013</v>
      </c>
      <c r="O9" t="s">
        <v>224</v>
      </c>
      <c r="P9" t="s">
        <v>224</v>
      </c>
      <c r="Q9">
        <v>1</v>
      </c>
      <c r="W9">
        <v>0</v>
      </c>
      <c r="X9">
        <v>145020957</v>
      </c>
      <c r="Y9">
        <v>318.47000000000003</v>
      </c>
      <c r="AA9">
        <v>0</v>
      </c>
      <c r="AB9">
        <v>0</v>
      </c>
      <c r="AC9">
        <v>0</v>
      </c>
      <c r="AD9">
        <v>9.07</v>
      </c>
      <c r="AE9">
        <v>0</v>
      </c>
      <c r="AF9">
        <v>0</v>
      </c>
      <c r="AG9">
        <v>0</v>
      </c>
      <c r="AH9">
        <v>9.07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5</v>
      </c>
      <c r="AT9">
        <v>318.47000000000003</v>
      </c>
      <c r="AU9" t="s">
        <v>5</v>
      </c>
      <c r="AV9">
        <v>1</v>
      </c>
      <c r="AW9">
        <v>2</v>
      </c>
      <c r="AX9">
        <v>34765678</v>
      </c>
      <c r="AY9">
        <v>1</v>
      </c>
      <c r="AZ9">
        <v>0</v>
      </c>
      <c r="BA9">
        <v>13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224.871667</v>
      </c>
      <c r="CY9">
        <f>AD9</f>
        <v>9.07</v>
      </c>
      <c r="CZ9">
        <f>AH9</f>
        <v>9.07</v>
      </c>
      <c r="DA9">
        <f>AL9</f>
        <v>1</v>
      </c>
      <c r="DB9">
        <v>0</v>
      </c>
      <c r="GQ9">
        <v>-1</v>
      </c>
      <c r="GR9">
        <v>-1</v>
      </c>
    </row>
    <row r="10" spans="1:200" x14ac:dyDescent="0.2">
      <c r="A10">
        <f>ROW(Source!A26)</f>
        <v>26</v>
      </c>
      <c r="B10">
        <v>34763685</v>
      </c>
      <c r="C10">
        <v>34765677</v>
      </c>
      <c r="D10">
        <v>31526951</v>
      </c>
      <c r="E10">
        <v>1</v>
      </c>
      <c r="F10">
        <v>1</v>
      </c>
      <c r="G10">
        <v>1</v>
      </c>
      <c r="H10">
        <v>2</v>
      </c>
      <c r="I10" t="s">
        <v>236</v>
      </c>
      <c r="J10" t="s">
        <v>237</v>
      </c>
      <c r="K10" t="s">
        <v>238</v>
      </c>
      <c r="L10">
        <v>1368</v>
      </c>
      <c r="N10">
        <v>1011</v>
      </c>
      <c r="O10" t="s">
        <v>230</v>
      </c>
      <c r="P10" t="s">
        <v>230</v>
      </c>
      <c r="Q10">
        <v>1</v>
      </c>
      <c r="W10">
        <v>0</v>
      </c>
      <c r="X10">
        <v>1047452784</v>
      </c>
      <c r="Y10">
        <v>1.36</v>
      </c>
      <c r="AA10">
        <v>0</v>
      </c>
      <c r="AB10">
        <v>1.7</v>
      </c>
      <c r="AC10">
        <v>0</v>
      </c>
      <c r="AD10">
        <v>0</v>
      </c>
      <c r="AE10">
        <v>0</v>
      </c>
      <c r="AF10">
        <v>1.7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5</v>
      </c>
      <c r="AT10">
        <v>1.36</v>
      </c>
      <c r="AU10" t="s">
        <v>5</v>
      </c>
      <c r="AV10">
        <v>0</v>
      </c>
      <c r="AW10">
        <v>2</v>
      </c>
      <c r="AX10">
        <v>34765679</v>
      </c>
      <c r="AY10">
        <v>1</v>
      </c>
      <c r="AZ10">
        <v>0</v>
      </c>
      <c r="BA10">
        <v>14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0.96029600000000004</v>
      </c>
      <c r="CY10">
        <f>AB10</f>
        <v>1.7</v>
      </c>
      <c r="CZ10">
        <f>AF10</f>
        <v>1.7</v>
      </c>
      <c r="DA10">
        <f>AJ10</f>
        <v>1</v>
      </c>
      <c r="DB10">
        <v>0</v>
      </c>
      <c r="GQ10">
        <v>-1</v>
      </c>
      <c r="GR10">
        <v>-1</v>
      </c>
    </row>
    <row r="11" spans="1:200" x14ac:dyDescent="0.2">
      <c r="A11">
        <f>ROW(Source!A26)</f>
        <v>26</v>
      </c>
      <c r="B11">
        <v>34763685</v>
      </c>
      <c r="C11">
        <v>34765677</v>
      </c>
      <c r="D11">
        <v>31446395</v>
      </c>
      <c r="E11">
        <v>1</v>
      </c>
      <c r="F11">
        <v>1</v>
      </c>
      <c r="G11">
        <v>1</v>
      </c>
      <c r="H11">
        <v>3</v>
      </c>
      <c r="I11" t="s">
        <v>239</v>
      </c>
      <c r="J11" t="s">
        <v>240</v>
      </c>
      <c r="K11" t="s">
        <v>241</v>
      </c>
      <c r="L11">
        <v>1339</v>
      </c>
      <c r="N11">
        <v>1007</v>
      </c>
      <c r="O11" t="s">
        <v>242</v>
      </c>
      <c r="P11" t="s">
        <v>242</v>
      </c>
      <c r="Q11">
        <v>1</v>
      </c>
      <c r="W11">
        <v>0</v>
      </c>
      <c r="X11">
        <v>-1660354250</v>
      </c>
      <c r="Y11">
        <v>0.35</v>
      </c>
      <c r="AA11">
        <v>2.44</v>
      </c>
      <c r="AB11">
        <v>0</v>
      </c>
      <c r="AC11">
        <v>0</v>
      </c>
      <c r="AD11">
        <v>0</v>
      </c>
      <c r="AE11">
        <v>2.44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5</v>
      </c>
      <c r="AT11">
        <v>0.35</v>
      </c>
      <c r="AU11" t="s">
        <v>5</v>
      </c>
      <c r="AV11">
        <v>0</v>
      </c>
      <c r="AW11">
        <v>2</v>
      </c>
      <c r="AX11">
        <v>34765680</v>
      </c>
      <c r="AY11">
        <v>1</v>
      </c>
      <c r="AZ11">
        <v>0</v>
      </c>
      <c r="BA11">
        <v>15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0.24713499999999997</v>
      </c>
      <c r="CY11">
        <f>AA11</f>
        <v>2.44</v>
      </c>
      <c r="CZ11">
        <f>AE11</f>
        <v>2.44</v>
      </c>
      <c r="DA11">
        <f>AI11</f>
        <v>1</v>
      </c>
      <c r="DB11">
        <v>0</v>
      </c>
      <c r="DH11">
        <f>Source!I26*SmtRes!Y11</f>
        <v>0.24713499999999997</v>
      </c>
      <c r="DI11">
        <f>AA11</f>
        <v>2.44</v>
      </c>
      <c r="DJ11">
        <f>EtalonRes!Y15</f>
        <v>2.44</v>
      </c>
      <c r="DK11">
        <f>Source!BC26</f>
        <v>1</v>
      </c>
      <c r="GQ11">
        <v>-1</v>
      </c>
      <c r="GR11">
        <v>-1</v>
      </c>
    </row>
    <row r="12" spans="1:200" x14ac:dyDescent="0.2">
      <c r="A12">
        <f>ROW(Source!A26)</f>
        <v>26</v>
      </c>
      <c r="B12">
        <v>34763685</v>
      </c>
      <c r="C12">
        <v>34765677</v>
      </c>
      <c r="D12">
        <v>31451984</v>
      </c>
      <c r="E12">
        <v>1</v>
      </c>
      <c r="F12">
        <v>1</v>
      </c>
      <c r="G12">
        <v>1</v>
      </c>
      <c r="H12">
        <v>3</v>
      </c>
      <c r="I12" t="s">
        <v>243</v>
      </c>
      <c r="J12" t="s">
        <v>244</v>
      </c>
      <c r="K12" t="s">
        <v>245</v>
      </c>
      <c r="L12">
        <v>1339</v>
      </c>
      <c r="N12">
        <v>1007</v>
      </c>
      <c r="O12" t="s">
        <v>242</v>
      </c>
      <c r="P12" t="s">
        <v>242</v>
      </c>
      <c r="Q12">
        <v>1</v>
      </c>
      <c r="W12">
        <v>0</v>
      </c>
      <c r="X12">
        <v>-1001479081</v>
      </c>
      <c r="Y12">
        <v>4.4000000000000004</v>
      </c>
      <c r="AA12">
        <v>517.91</v>
      </c>
      <c r="AB12">
        <v>0</v>
      </c>
      <c r="AC12">
        <v>0</v>
      </c>
      <c r="AD12">
        <v>0</v>
      </c>
      <c r="AE12">
        <v>517.91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5</v>
      </c>
      <c r="AT12">
        <v>4.4000000000000004</v>
      </c>
      <c r="AU12" t="s">
        <v>5</v>
      </c>
      <c r="AV12">
        <v>0</v>
      </c>
      <c r="AW12">
        <v>2</v>
      </c>
      <c r="AX12">
        <v>34765682</v>
      </c>
      <c r="AY12">
        <v>1</v>
      </c>
      <c r="AZ12">
        <v>0</v>
      </c>
      <c r="BA12">
        <v>17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3.10684</v>
      </c>
      <c r="CY12">
        <f>AA12</f>
        <v>517.91</v>
      </c>
      <c r="CZ12">
        <f>AE12</f>
        <v>517.91</v>
      </c>
      <c r="DA12">
        <f>AI12</f>
        <v>1</v>
      </c>
      <c r="DB12">
        <v>0</v>
      </c>
      <c r="DH12">
        <f>Source!I26*SmtRes!Y12</f>
        <v>3.10684</v>
      </c>
      <c r="DI12">
        <f>AA12</f>
        <v>517.91</v>
      </c>
      <c r="DJ12">
        <f>EtalonRes!Y17</f>
        <v>517.91</v>
      </c>
      <c r="DK12">
        <f>Source!BC26</f>
        <v>1</v>
      </c>
      <c r="GQ12">
        <v>-1</v>
      </c>
      <c r="GR12">
        <v>-1</v>
      </c>
    </row>
    <row r="13" spans="1:200" x14ac:dyDescent="0.2">
      <c r="A13">
        <f>ROW(Source!A27)</f>
        <v>27</v>
      </c>
      <c r="B13">
        <v>34763707</v>
      </c>
      <c r="C13">
        <v>34765677</v>
      </c>
      <c r="D13">
        <v>31709544</v>
      </c>
      <c r="E13">
        <v>1</v>
      </c>
      <c r="F13">
        <v>1</v>
      </c>
      <c r="G13">
        <v>1</v>
      </c>
      <c r="H13">
        <v>1</v>
      </c>
      <c r="I13" t="s">
        <v>234</v>
      </c>
      <c r="J13" t="s">
        <v>5</v>
      </c>
      <c r="K13" t="s">
        <v>235</v>
      </c>
      <c r="L13">
        <v>1191</v>
      </c>
      <c r="N13">
        <v>1013</v>
      </c>
      <c r="O13" t="s">
        <v>224</v>
      </c>
      <c r="P13" t="s">
        <v>224</v>
      </c>
      <c r="Q13">
        <v>1</v>
      </c>
      <c r="W13">
        <v>0</v>
      </c>
      <c r="X13">
        <v>145020957</v>
      </c>
      <c r="Y13">
        <v>318.47000000000003</v>
      </c>
      <c r="AA13">
        <v>0</v>
      </c>
      <c r="AB13">
        <v>0</v>
      </c>
      <c r="AC13">
        <v>0</v>
      </c>
      <c r="AD13">
        <v>61.49</v>
      </c>
      <c r="AE13">
        <v>0</v>
      </c>
      <c r="AF13">
        <v>0</v>
      </c>
      <c r="AG13">
        <v>0</v>
      </c>
      <c r="AH13">
        <v>9.07</v>
      </c>
      <c r="AI13">
        <v>1</v>
      </c>
      <c r="AJ13">
        <v>1</v>
      </c>
      <c r="AK13">
        <v>1</v>
      </c>
      <c r="AL13">
        <v>6.78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5</v>
      </c>
      <c r="AT13">
        <v>318.47000000000003</v>
      </c>
      <c r="AU13" t="s">
        <v>5</v>
      </c>
      <c r="AV13">
        <v>1</v>
      </c>
      <c r="AW13">
        <v>2</v>
      </c>
      <c r="AX13">
        <v>34765678</v>
      </c>
      <c r="AY13">
        <v>1</v>
      </c>
      <c r="AZ13">
        <v>0</v>
      </c>
      <c r="BA13">
        <v>18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224.871667</v>
      </c>
      <c r="CY13">
        <f>AD13</f>
        <v>61.49</v>
      </c>
      <c r="CZ13">
        <f>AH13</f>
        <v>9.07</v>
      </c>
      <c r="DA13">
        <f>AL13</f>
        <v>6.78</v>
      </c>
      <c r="DB13">
        <v>0</v>
      </c>
      <c r="GQ13">
        <v>-1</v>
      </c>
      <c r="GR13">
        <v>-1</v>
      </c>
    </row>
    <row r="14" spans="1:200" x14ac:dyDescent="0.2">
      <c r="A14">
        <f>ROW(Source!A27)</f>
        <v>27</v>
      </c>
      <c r="B14">
        <v>34763707</v>
      </c>
      <c r="C14">
        <v>34765677</v>
      </c>
      <c r="D14">
        <v>31526951</v>
      </c>
      <c r="E14">
        <v>1</v>
      </c>
      <c r="F14">
        <v>1</v>
      </c>
      <c r="G14">
        <v>1</v>
      </c>
      <c r="H14">
        <v>2</v>
      </c>
      <c r="I14" t="s">
        <v>236</v>
      </c>
      <c r="J14" t="s">
        <v>237</v>
      </c>
      <c r="K14" t="s">
        <v>238</v>
      </c>
      <c r="L14">
        <v>1368</v>
      </c>
      <c r="N14">
        <v>1011</v>
      </c>
      <c r="O14" t="s">
        <v>230</v>
      </c>
      <c r="P14" t="s">
        <v>230</v>
      </c>
      <c r="Q14">
        <v>1</v>
      </c>
      <c r="W14">
        <v>0</v>
      </c>
      <c r="X14">
        <v>1047452784</v>
      </c>
      <c r="Y14">
        <v>1.36</v>
      </c>
      <c r="AA14">
        <v>0</v>
      </c>
      <c r="AB14">
        <v>11.53</v>
      </c>
      <c r="AC14">
        <v>0</v>
      </c>
      <c r="AD14">
        <v>0</v>
      </c>
      <c r="AE14">
        <v>0</v>
      </c>
      <c r="AF14">
        <v>1.7</v>
      </c>
      <c r="AG14">
        <v>0</v>
      </c>
      <c r="AH14">
        <v>0</v>
      </c>
      <c r="AI14">
        <v>1</v>
      </c>
      <c r="AJ14">
        <v>6.78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5</v>
      </c>
      <c r="AT14">
        <v>1.36</v>
      </c>
      <c r="AU14" t="s">
        <v>5</v>
      </c>
      <c r="AV14">
        <v>0</v>
      </c>
      <c r="AW14">
        <v>2</v>
      </c>
      <c r="AX14">
        <v>34765679</v>
      </c>
      <c r="AY14">
        <v>1</v>
      </c>
      <c r="AZ14">
        <v>0</v>
      </c>
      <c r="BA14">
        <v>19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0.96029600000000004</v>
      </c>
      <c r="CY14">
        <f>AB14</f>
        <v>11.53</v>
      </c>
      <c r="CZ14">
        <f>AF14</f>
        <v>1.7</v>
      </c>
      <c r="DA14">
        <f>AJ14</f>
        <v>6.78</v>
      </c>
      <c r="DB14">
        <v>0</v>
      </c>
      <c r="GQ14">
        <v>-1</v>
      </c>
      <c r="GR14">
        <v>-1</v>
      </c>
    </row>
    <row r="15" spans="1:200" x14ac:dyDescent="0.2">
      <c r="A15">
        <f>ROW(Source!A27)</f>
        <v>27</v>
      </c>
      <c r="B15">
        <v>34763707</v>
      </c>
      <c r="C15">
        <v>34765677</v>
      </c>
      <c r="D15">
        <v>31446395</v>
      </c>
      <c r="E15">
        <v>1</v>
      </c>
      <c r="F15">
        <v>1</v>
      </c>
      <c r="G15">
        <v>1</v>
      </c>
      <c r="H15">
        <v>3</v>
      </c>
      <c r="I15" t="s">
        <v>239</v>
      </c>
      <c r="J15" t="s">
        <v>240</v>
      </c>
      <c r="K15" t="s">
        <v>241</v>
      </c>
      <c r="L15">
        <v>1339</v>
      </c>
      <c r="N15">
        <v>1007</v>
      </c>
      <c r="O15" t="s">
        <v>242</v>
      </c>
      <c r="P15" t="s">
        <v>242</v>
      </c>
      <c r="Q15">
        <v>1</v>
      </c>
      <c r="W15">
        <v>0</v>
      </c>
      <c r="X15">
        <v>-1660354250</v>
      </c>
      <c r="Y15">
        <v>0.35</v>
      </c>
      <c r="AA15">
        <v>16.54</v>
      </c>
      <c r="AB15">
        <v>0</v>
      </c>
      <c r="AC15">
        <v>0</v>
      </c>
      <c r="AD15">
        <v>0</v>
      </c>
      <c r="AE15">
        <v>2.44</v>
      </c>
      <c r="AF15">
        <v>0</v>
      </c>
      <c r="AG15">
        <v>0</v>
      </c>
      <c r="AH15">
        <v>0</v>
      </c>
      <c r="AI15">
        <v>6.78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5</v>
      </c>
      <c r="AT15">
        <v>0.35</v>
      </c>
      <c r="AU15" t="s">
        <v>5</v>
      </c>
      <c r="AV15">
        <v>0</v>
      </c>
      <c r="AW15">
        <v>2</v>
      </c>
      <c r="AX15">
        <v>34765680</v>
      </c>
      <c r="AY15">
        <v>1</v>
      </c>
      <c r="AZ15">
        <v>0</v>
      </c>
      <c r="BA15">
        <v>20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0.24713499999999997</v>
      </c>
      <c r="CY15">
        <f>AA15</f>
        <v>16.54</v>
      </c>
      <c r="CZ15">
        <f>AE15</f>
        <v>2.44</v>
      </c>
      <c r="DA15">
        <f>AI15</f>
        <v>6.78</v>
      </c>
      <c r="DB15">
        <v>0</v>
      </c>
      <c r="DH15">
        <f>Source!I27*SmtRes!Y15</f>
        <v>0.24713499999999997</v>
      </c>
      <c r="DI15">
        <f>AA15</f>
        <v>16.54</v>
      </c>
      <c r="DJ15">
        <f>EtalonRes!Y20</f>
        <v>2.44</v>
      </c>
      <c r="DK15">
        <f>Source!BC27</f>
        <v>6.78</v>
      </c>
      <c r="GQ15">
        <v>-1</v>
      </c>
      <c r="GR15">
        <v>-1</v>
      </c>
    </row>
    <row r="16" spans="1:200" x14ac:dyDescent="0.2">
      <c r="A16">
        <f>ROW(Source!A27)</f>
        <v>27</v>
      </c>
      <c r="B16">
        <v>34763707</v>
      </c>
      <c r="C16">
        <v>34765677</v>
      </c>
      <c r="D16">
        <v>31451984</v>
      </c>
      <c r="E16">
        <v>1</v>
      </c>
      <c r="F16">
        <v>1</v>
      </c>
      <c r="G16">
        <v>1</v>
      </c>
      <c r="H16">
        <v>3</v>
      </c>
      <c r="I16" t="s">
        <v>243</v>
      </c>
      <c r="J16" t="s">
        <v>244</v>
      </c>
      <c r="K16" t="s">
        <v>245</v>
      </c>
      <c r="L16">
        <v>1339</v>
      </c>
      <c r="N16">
        <v>1007</v>
      </c>
      <c r="O16" t="s">
        <v>242</v>
      </c>
      <c r="P16" t="s">
        <v>242</v>
      </c>
      <c r="Q16">
        <v>1</v>
      </c>
      <c r="W16">
        <v>0</v>
      </c>
      <c r="X16">
        <v>-1001479081</v>
      </c>
      <c r="Y16">
        <v>4.4000000000000004</v>
      </c>
      <c r="AA16">
        <v>3511.43</v>
      </c>
      <c r="AB16">
        <v>0</v>
      </c>
      <c r="AC16">
        <v>0</v>
      </c>
      <c r="AD16">
        <v>0</v>
      </c>
      <c r="AE16">
        <v>517.91</v>
      </c>
      <c r="AF16">
        <v>0</v>
      </c>
      <c r="AG16">
        <v>0</v>
      </c>
      <c r="AH16">
        <v>0</v>
      </c>
      <c r="AI16">
        <v>6.78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5</v>
      </c>
      <c r="AT16">
        <v>4.4000000000000004</v>
      </c>
      <c r="AU16" t="s">
        <v>5</v>
      </c>
      <c r="AV16">
        <v>0</v>
      </c>
      <c r="AW16">
        <v>2</v>
      </c>
      <c r="AX16">
        <v>34765682</v>
      </c>
      <c r="AY16">
        <v>1</v>
      </c>
      <c r="AZ16">
        <v>0</v>
      </c>
      <c r="BA16">
        <v>22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3.10684</v>
      </c>
      <c r="CY16">
        <f>AA16</f>
        <v>3511.43</v>
      </c>
      <c r="CZ16">
        <f>AE16</f>
        <v>517.91</v>
      </c>
      <c r="DA16">
        <f>AI16</f>
        <v>6.78</v>
      </c>
      <c r="DB16">
        <v>0</v>
      </c>
      <c r="DH16">
        <f>Source!I27*SmtRes!Y16</f>
        <v>3.10684</v>
      </c>
      <c r="DI16">
        <f>AA16</f>
        <v>3511.43</v>
      </c>
      <c r="DJ16">
        <f>EtalonRes!Y22</f>
        <v>517.91</v>
      </c>
      <c r="DK16">
        <f>Source!BC27</f>
        <v>6.78</v>
      </c>
      <c r="GQ16">
        <v>-1</v>
      </c>
      <c r="GR16">
        <v>-1</v>
      </c>
    </row>
    <row r="17" spans="1:200" x14ac:dyDescent="0.2">
      <c r="A17">
        <f>ROW(Source!A28)</f>
        <v>28</v>
      </c>
      <c r="B17">
        <v>34763685</v>
      </c>
      <c r="C17">
        <v>34765684</v>
      </c>
      <c r="D17">
        <v>31709544</v>
      </c>
      <c r="E17">
        <v>1</v>
      </c>
      <c r="F17">
        <v>1</v>
      </c>
      <c r="G17">
        <v>1</v>
      </c>
      <c r="H17">
        <v>1</v>
      </c>
      <c r="I17" t="s">
        <v>234</v>
      </c>
      <c r="J17" t="s">
        <v>5</v>
      </c>
      <c r="K17" t="s">
        <v>235</v>
      </c>
      <c r="L17">
        <v>1191</v>
      </c>
      <c r="N17">
        <v>1013</v>
      </c>
      <c r="O17" t="s">
        <v>224</v>
      </c>
      <c r="P17" t="s">
        <v>224</v>
      </c>
      <c r="Q17">
        <v>1</v>
      </c>
      <c r="W17">
        <v>0</v>
      </c>
      <c r="X17">
        <v>145020957</v>
      </c>
      <c r="Y17">
        <v>47.85</v>
      </c>
      <c r="AA17">
        <v>0</v>
      </c>
      <c r="AB17">
        <v>0</v>
      </c>
      <c r="AC17">
        <v>0</v>
      </c>
      <c r="AD17">
        <v>9.07</v>
      </c>
      <c r="AE17">
        <v>0</v>
      </c>
      <c r="AF17">
        <v>0</v>
      </c>
      <c r="AG17">
        <v>0</v>
      </c>
      <c r="AH17">
        <v>9.07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5</v>
      </c>
      <c r="AT17">
        <v>47.85</v>
      </c>
      <c r="AU17" t="s">
        <v>5</v>
      </c>
      <c r="AV17">
        <v>1</v>
      </c>
      <c r="AW17">
        <v>2</v>
      </c>
      <c r="AX17">
        <v>34765685</v>
      </c>
      <c r="AY17">
        <v>1</v>
      </c>
      <c r="AZ17">
        <v>0</v>
      </c>
      <c r="BA17">
        <v>23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22.522995000000002</v>
      </c>
      <c r="CY17">
        <f>AD17</f>
        <v>9.07</v>
      </c>
      <c r="CZ17">
        <f>AH17</f>
        <v>9.07</v>
      </c>
      <c r="DA17">
        <f>AL17</f>
        <v>1</v>
      </c>
      <c r="DB17">
        <v>0</v>
      </c>
      <c r="GQ17">
        <v>-1</v>
      </c>
      <c r="GR17">
        <v>-1</v>
      </c>
    </row>
    <row r="18" spans="1:200" x14ac:dyDescent="0.2">
      <c r="A18">
        <f>ROW(Source!A28)</f>
        <v>28</v>
      </c>
      <c r="B18">
        <v>34763685</v>
      </c>
      <c r="C18">
        <v>34765684</v>
      </c>
      <c r="D18">
        <v>31526951</v>
      </c>
      <c r="E18">
        <v>1</v>
      </c>
      <c r="F18">
        <v>1</v>
      </c>
      <c r="G18">
        <v>1</v>
      </c>
      <c r="H18">
        <v>2</v>
      </c>
      <c r="I18" t="s">
        <v>236</v>
      </c>
      <c r="J18" t="s">
        <v>237</v>
      </c>
      <c r="K18" t="s">
        <v>238</v>
      </c>
      <c r="L18">
        <v>1368</v>
      </c>
      <c r="N18">
        <v>1011</v>
      </c>
      <c r="O18" t="s">
        <v>230</v>
      </c>
      <c r="P18" t="s">
        <v>230</v>
      </c>
      <c r="Q18">
        <v>1</v>
      </c>
      <c r="W18">
        <v>0</v>
      </c>
      <c r="X18">
        <v>1047452784</v>
      </c>
      <c r="Y18">
        <v>0.34</v>
      </c>
      <c r="AA18">
        <v>0</v>
      </c>
      <c r="AB18">
        <v>1.7</v>
      </c>
      <c r="AC18">
        <v>0</v>
      </c>
      <c r="AD18">
        <v>0</v>
      </c>
      <c r="AE18">
        <v>0</v>
      </c>
      <c r="AF18">
        <v>1.7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5</v>
      </c>
      <c r="AT18">
        <v>0.34</v>
      </c>
      <c r="AU18" t="s">
        <v>5</v>
      </c>
      <c r="AV18">
        <v>0</v>
      </c>
      <c r="AW18">
        <v>2</v>
      </c>
      <c r="AX18">
        <v>34765686</v>
      </c>
      <c r="AY18">
        <v>1</v>
      </c>
      <c r="AZ18">
        <v>0</v>
      </c>
      <c r="BA18">
        <v>24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0.16003800000000001</v>
      </c>
      <c r="CY18">
        <f>AB18</f>
        <v>1.7</v>
      </c>
      <c r="CZ18">
        <f>AF18</f>
        <v>1.7</v>
      </c>
      <c r="DA18">
        <f>AJ18</f>
        <v>1</v>
      </c>
      <c r="DB18">
        <v>0</v>
      </c>
      <c r="GQ18">
        <v>-1</v>
      </c>
      <c r="GR18">
        <v>-1</v>
      </c>
    </row>
    <row r="19" spans="1:200" x14ac:dyDescent="0.2">
      <c r="A19">
        <f>ROW(Source!A28)</f>
        <v>28</v>
      </c>
      <c r="B19">
        <v>34763685</v>
      </c>
      <c r="C19">
        <v>34765684</v>
      </c>
      <c r="D19">
        <v>31451984</v>
      </c>
      <c r="E19">
        <v>1</v>
      </c>
      <c r="F19">
        <v>1</v>
      </c>
      <c r="G19">
        <v>1</v>
      </c>
      <c r="H19">
        <v>3</v>
      </c>
      <c r="I19" t="s">
        <v>243</v>
      </c>
      <c r="J19" t="s">
        <v>244</v>
      </c>
      <c r="K19" t="s">
        <v>245</v>
      </c>
      <c r="L19">
        <v>1339</v>
      </c>
      <c r="N19">
        <v>1007</v>
      </c>
      <c r="O19" t="s">
        <v>242</v>
      </c>
      <c r="P19" t="s">
        <v>242</v>
      </c>
      <c r="Q19">
        <v>1</v>
      </c>
      <c r="W19">
        <v>0</v>
      </c>
      <c r="X19">
        <v>-1001479081</v>
      </c>
      <c r="Y19">
        <v>1.1000000000000001</v>
      </c>
      <c r="AA19">
        <v>517.91</v>
      </c>
      <c r="AB19">
        <v>0</v>
      </c>
      <c r="AC19">
        <v>0</v>
      </c>
      <c r="AD19">
        <v>0</v>
      </c>
      <c r="AE19">
        <v>517.91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5</v>
      </c>
      <c r="AT19">
        <v>1.1000000000000001</v>
      </c>
      <c r="AU19" t="s">
        <v>5</v>
      </c>
      <c r="AV19">
        <v>0</v>
      </c>
      <c r="AW19">
        <v>2</v>
      </c>
      <c r="AX19">
        <v>34765688</v>
      </c>
      <c r="AY19">
        <v>1</v>
      </c>
      <c r="AZ19">
        <v>0</v>
      </c>
      <c r="BA19">
        <v>26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0.51777000000000006</v>
      </c>
      <c r="CY19">
        <f>AA19</f>
        <v>517.91</v>
      </c>
      <c r="CZ19">
        <f>AE19</f>
        <v>517.91</v>
      </c>
      <c r="DA19">
        <f>AI19</f>
        <v>1</v>
      </c>
      <c r="DB19">
        <v>0</v>
      </c>
      <c r="DH19">
        <f>Source!I28*SmtRes!Y19</f>
        <v>0.51777000000000006</v>
      </c>
      <c r="DI19">
        <f>AA19</f>
        <v>517.91</v>
      </c>
      <c r="DJ19">
        <f>EtalonRes!Y26</f>
        <v>517.91</v>
      </c>
      <c r="DK19">
        <f>Source!BC28</f>
        <v>1</v>
      </c>
      <c r="GQ19">
        <v>-1</v>
      </c>
      <c r="GR19">
        <v>-1</v>
      </c>
    </row>
    <row r="20" spans="1:200" x14ac:dyDescent="0.2">
      <c r="A20">
        <f>ROW(Source!A29)</f>
        <v>29</v>
      </c>
      <c r="B20">
        <v>34763707</v>
      </c>
      <c r="C20">
        <v>34765684</v>
      </c>
      <c r="D20">
        <v>31709544</v>
      </c>
      <c r="E20">
        <v>1</v>
      </c>
      <c r="F20">
        <v>1</v>
      </c>
      <c r="G20">
        <v>1</v>
      </c>
      <c r="H20">
        <v>1</v>
      </c>
      <c r="I20" t="s">
        <v>234</v>
      </c>
      <c r="J20" t="s">
        <v>5</v>
      </c>
      <c r="K20" t="s">
        <v>235</v>
      </c>
      <c r="L20">
        <v>1191</v>
      </c>
      <c r="N20">
        <v>1013</v>
      </c>
      <c r="O20" t="s">
        <v>224</v>
      </c>
      <c r="P20" t="s">
        <v>224</v>
      </c>
      <c r="Q20">
        <v>1</v>
      </c>
      <c r="W20">
        <v>0</v>
      </c>
      <c r="X20">
        <v>145020957</v>
      </c>
      <c r="Y20">
        <v>47.85</v>
      </c>
      <c r="AA20">
        <v>0</v>
      </c>
      <c r="AB20">
        <v>0</v>
      </c>
      <c r="AC20">
        <v>0</v>
      </c>
      <c r="AD20">
        <v>61.49</v>
      </c>
      <c r="AE20">
        <v>0</v>
      </c>
      <c r="AF20">
        <v>0</v>
      </c>
      <c r="AG20">
        <v>0</v>
      </c>
      <c r="AH20">
        <v>9.07</v>
      </c>
      <c r="AI20">
        <v>1</v>
      </c>
      <c r="AJ20">
        <v>1</v>
      </c>
      <c r="AK20">
        <v>1</v>
      </c>
      <c r="AL20">
        <v>6.78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5</v>
      </c>
      <c r="AT20">
        <v>47.85</v>
      </c>
      <c r="AU20" t="s">
        <v>5</v>
      </c>
      <c r="AV20">
        <v>1</v>
      </c>
      <c r="AW20">
        <v>2</v>
      </c>
      <c r="AX20">
        <v>34765685</v>
      </c>
      <c r="AY20">
        <v>1</v>
      </c>
      <c r="AZ20">
        <v>0</v>
      </c>
      <c r="BA20">
        <v>27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22.522995000000002</v>
      </c>
      <c r="CY20">
        <f>AD20</f>
        <v>61.49</v>
      </c>
      <c r="CZ20">
        <f>AH20</f>
        <v>9.07</v>
      </c>
      <c r="DA20">
        <f>AL20</f>
        <v>6.78</v>
      </c>
      <c r="DB20">
        <v>0</v>
      </c>
      <c r="GQ20">
        <v>-1</v>
      </c>
      <c r="GR20">
        <v>-1</v>
      </c>
    </row>
    <row r="21" spans="1:200" x14ac:dyDescent="0.2">
      <c r="A21">
        <f>ROW(Source!A29)</f>
        <v>29</v>
      </c>
      <c r="B21">
        <v>34763707</v>
      </c>
      <c r="C21">
        <v>34765684</v>
      </c>
      <c r="D21">
        <v>31526951</v>
      </c>
      <c r="E21">
        <v>1</v>
      </c>
      <c r="F21">
        <v>1</v>
      </c>
      <c r="G21">
        <v>1</v>
      </c>
      <c r="H21">
        <v>2</v>
      </c>
      <c r="I21" t="s">
        <v>236</v>
      </c>
      <c r="J21" t="s">
        <v>237</v>
      </c>
      <c r="K21" t="s">
        <v>238</v>
      </c>
      <c r="L21">
        <v>1368</v>
      </c>
      <c r="N21">
        <v>1011</v>
      </c>
      <c r="O21" t="s">
        <v>230</v>
      </c>
      <c r="P21" t="s">
        <v>230</v>
      </c>
      <c r="Q21">
        <v>1</v>
      </c>
      <c r="W21">
        <v>0</v>
      </c>
      <c r="X21">
        <v>1047452784</v>
      </c>
      <c r="Y21">
        <v>0.34</v>
      </c>
      <c r="AA21">
        <v>0</v>
      </c>
      <c r="AB21">
        <v>11.53</v>
      </c>
      <c r="AC21">
        <v>0</v>
      </c>
      <c r="AD21">
        <v>0</v>
      </c>
      <c r="AE21">
        <v>0</v>
      </c>
      <c r="AF21">
        <v>1.7</v>
      </c>
      <c r="AG21">
        <v>0</v>
      </c>
      <c r="AH21">
        <v>0</v>
      </c>
      <c r="AI21">
        <v>1</v>
      </c>
      <c r="AJ21">
        <v>6.78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5</v>
      </c>
      <c r="AT21">
        <v>0.34</v>
      </c>
      <c r="AU21" t="s">
        <v>5</v>
      </c>
      <c r="AV21">
        <v>0</v>
      </c>
      <c r="AW21">
        <v>2</v>
      </c>
      <c r="AX21">
        <v>34765686</v>
      </c>
      <c r="AY21">
        <v>1</v>
      </c>
      <c r="AZ21">
        <v>0</v>
      </c>
      <c r="BA21">
        <v>28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0.16003800000000001</v>
      </c>
      <c r="CY21">
        <f>AB21</f>
        <v>11.53</v>
      </c>
      <c r="CZ21">
        <f>AF21</f>
        <v>1.7</v>
      </c>
      <c r="DA21">
        <f>AJ21</f>
        <v>6.78</v>
      </c>
      <c r="DB21">
        <v>0</v>
      </c>
      <c r="GQ21">
        <v>-1</v>
      </c>
      <c r="GR21">
        <v>-1</v>
      </c>
    </row>
    <row r="22" spans="1:200" x14ac:dyDescent="0.2">
      <c r="A22">
        <f>ROW(Source!A29)</f>
        <v>29</v>
      </c>
      <c r="B22">
        <v>34763707</v>
      </c>
      <c r="C22">
        <v>34765684</v>
      </c>
      <c r="D22">
        <v>31451984</v>
      </c>
      <c r="E22">
        <v>1</v>
      </c>
      <c r="F22">
        <v>1</v>
      </c>
      <c r="G22">
        <v>1</v>
      </c>
      <c r="H22">
        <v>3</v>
      </c>
      <c r="I22" t="s">
        <v>243</v>
      </c>
      <c r="J22" t="s">
        <v>244</v>
      </c>
      <c r="K22" t="s">
        <v>245</v>
      </c>
      <c r="L22">
        <v>1339</v>
      </c>
      <c r="N22">
        <v>1007</v>
      </c>
      <c r="O22" t="s">
        <v>242</v>
      </c>
      <c r="P22" t="s">
        <v>242</v>
      </c>
      <c r="Q22">
        <v>1</v>
      </c>
      <c r="W22">
        <v>0</v>
      </c>
      <c r="X22">
        <v>-1001479081</v>
      </c>
      <c r="Y22">
        <v>1.1000000000000001</v>
      </c>
      <c r="AA22">
        <v>3511.43</v>
      </c>
      <c r="AB22">
        <v>0</v>
      </c>
      <c r="AC22">
        <v>0</v>
      </c>
      <c r="AD22">
        <v>0</v>
      </c>
      <c r="AE22">
        <v>517.91</v>
      </c>
      <c r="AF22">
        <v>0</v>
      </c>
      <c r="AG22">
        <v>0</v>
      </c>
      <c r="AH22">
        <v>0</v>
      </c>
      <c r="AI22">
        <v>6.78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5</v>
      </c>
      <c r="AT22">
        <v>1.1000000000000001</v>
      </c>
      <c r="AU22" t="s">
        <v>5</v>
      </c>
      <c r="AV22">
        <v>0</v>
      </c>
      <c r="AW22">
        <v>2</v>
      </c>
      <c r="AX22">
        <v>34765688</v>
      </c>
      <c r="AY22">
        <v>1</v>
      </c>
      <c r="AZ22">
        <v>0</v>
      </c>
      <c r="BA22">
        <v>30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0.51777000000000006</v>
      </c>
      <c r="CY22">
        <f>AA22</f>
        <v>3511.43</v>
      </c>
      <c r="CZ22">
        <f>AE22</f>
        <v>517.91</v>
      </c>
      <c r="DA22">
        <f>AI22</f>
        <v>6.78</v>
      </c>
      <c r="DB22">
        <v>0</v>
      </c>
      <c r="DH22">
        <f>Source!I29*SmtRes!Y22</f>
        <v>0.51777000000000006</v>
      </c>
      <c r="DI22">
        <f>AA22</f>
        <v>3511.43</v>
      </c>
      <c r="DJ22">
        <f>EtalonRes!Y30</f>
        <v>517.91</v>
      </c>
      <c r="DK22">
        <f>Source!BC29</f>
        <v>6.78</v>
      </c>
      <c r="GQ22">
        <v>-1</v>
      </c>
      <c r="GR22">
        <v>-1</v>
      </c>
    </row>
    <row r="23" spans="1:200" x14ac:dyDescent="0.2">
      <c r="A23">
        <f>ROW(Source!A30)</f>
        <v>30</v>
      </c>
      <c r="B23">
        <v>34763685</v>
      </c>
      <c r="C23">
        <v>34763864</v>
      </c>
      <c r="D23">
        <v>31714778</v>
      </c>
      <c r="E23">
        <v>1</v>
      </c>
      <c r="F23">
        <v>1</v>
      </c>
      <c r="G23">
        <v>1</v>
      </c>
      <c r="H23">
        <v>1</v>
      </c>
      <c r="I23" t="s">
        <v>246</v>
      </c>
      <c r="J23" t="s">
        <v>5</v>
      </c>
      <c r="K23" t="s">
        <v>247</v>
      </c>
      <c r="L23">
        <v>1191</v>
      </c>
      <c r="N23">
        <v>1013</v>
      </c>
      <c r="O23" t="s">
        <v>224</v>
      </c>
      <c r="P23" t="s">
        <v>224</v>
      </c>
      <c r="Q23">
        <v>1</v>
      </c>
      <c r="W23">
        <v>0</v>
      </c>
      <c r="X23">
        <v>-598469600</v>
      </c>
      <c r="Y23">
        <v>323.39999999999998</v>
      </c>
      <c r="AA23">
        <v>0</v>
      </c>
      <c r="AB23">
        <v>0</v>
      </c>
      <c r="AC23">
        <v>0</v>
      </c>
      <c r="AD23">
        <v>9.2899999999999991</v>
      </c>
      <c r="AE23">
        <v>0</v>
      </c>
      <c r="AF23">
        <v>0</v>
      </c>
      <c r="AG23">
        <v>0</v>
      </c>
      <c r="AH23">
        <v>9.2899999999999991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5</v>
      </c>
      <c r="AT23">
        <v>323.39999999999998</v>
      </c>
      <c r="AU23" t="s">
        <v>5</v>
      </c>
      <c r="AV23">
        <v>1</v>
      </c>
      <c r="AW23">
        <v>2</v>
      </c>
      <c r="AX23">
        <v>34765068</v>
      </c>
      <c r="AY23">
        <v>1</v>
      </c>
      <c r="AZ23">
        <v>0</v>
      </c>
      <c r="BA23">
        <v>31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168.00629999999998</v>
      </c>
      <c r="CY23">
        <f>AD23</f>
        <v>9.2899999999999991</v>
      </c>
      <c r="CZ23">
        <f>AH23</f>
        <v>9.2899999999999991</v>
      </c>
      <c r="DA23">
        <f>AL23</f>
        <v>1</v>
      </c>
      <c r="DB23">
        <v>0</v>
      </c>
      <c r="GQ23">
        <v>-1</v>
      </c>
      <c r="GR23">
        <v>-1</v>
      </c>
    </row>
    <row r="24" spans="1:200" x14ac:dyDescent="0.2">
      <c r="A24">
        <f>ROW(Source!A30)</f>
        <v>30</v>
      </c>
      <c r="B24">
        <v>34763685</v>
      </c>
      <c r="C24">
        <v>34763864</v>
      </c>
      <c r="D24">
        <v>31526951</v>
      </c>
      <c r="E24">
        <v>1</v>
      </c>
      <c r="F24">
        <v>1</v>
      </c>
      <c r="G24">
        <v>1</v>
      </c>
      <c r="H24">
        <v>2</v>
      </c>
      <c r="I24" t="s">
        <v>236</v>
      </c>
      <c r="J24" t="s">
        <v>237</v>
      </c>
      <c r="K24" t="s">
        <v>238</v>
      </c>
      <c r="L24">
        <v>1368</v>
      </c>
      <c r="N24">
        <v>1011</v>
      </c>
      <c r="O24" t="s">
        <v>230</v>
      </c>
      <c r="P24" t="s">
        <v>230</v>
      </c>
      <c r="Q24">
        <v>1</v>
      </c>
      <c r="W24">
        <v>0</v>
      </c>
      <c r="X24">
        <v>1047452784</v>
      </c>
      <c r="Y24">
        <v>1.36</v>
      </c>
      <c r="AA24">
        <v>0</v>
      </c>
      <c r="AB24">
        <v>1.7</v>
      </c>
      <c r="AC24">
        <v>0</v>
      </c>
      <c r="AD24">
        <v>0</v>
      </c>
      <c r="AE24">
        <v>0</v>
      </c>
      <c r="AF24">
        <v>1.7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5</v>
      </c>
      <c r="AT24">
        <v>1.36</v>
      </c>
      <c r="AU24" t="s">
        <v>5</v>
      </c>
      <c r="AV24">
        <v>0</v>
      </c>
      <c r="AW24">
        <v>2</v>
      </c>
      <c r="AX24">
        <v>34765069</v>
      </c>
      <c r="AY24">
        <v>1</v>
      </c>
      <c r="AZ24">
        <v>0</v>
      </c>
      <c r="BA24">
        <v>32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0.70652000000000004</v>
      </c>
      <c r="CY24">
        <f>AB24</f>
        <v>1.7</v>
      </c>
      <c r="CZ24">
        <f>AF24</f>
        <v>1.7</v>
      </c>
      <c r="DA24">
        <f>AJ24</f>
        <v>1</v>
      </c>
      <c r="DB24">
        <v>0</v>
      </c>
      <c r="GQ24">
        <v>-1</v>
      </c>
      <c r="GR24">
        <v>-1</v>
      </c>
    </row>
    <row r="25" spans="1:200" x14ac:dyDescent="0.2">
      <c r="A25">
        <f>ROW(Source!A30)</f>
        <v>30</v>
      </c>
      <c r="B25">
        <v>34763685</v>
      </c>
      <c r="C25">
        <v>34763864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239</v>
      </c>
      <c r="J25" t="s">
        <v>240</v>
      </c>
      <c r="K25" t="s">
        <v>241</v>
      </c>
      <c r="L25">
        <v>1339</v>
      </c>
      <c r="N25">
        <v>1007</v>
      </c>
      <c r="O25" t="s">
        <v>242</v>
      </c>
      <c r="P25" t="s">
        <v>242</v>
      </c>
      <c r="Q25">
        <v>1</v>
      </c>
      <c r="W25">
        <v>0</v>
      </c>
      <c r="X25">
        <v>-1660354250</v>
      </c>
      <c r="Y25">
        <v>0.35</v>
      </c>
      <c r="AA25">
        <v>2.44</v>
      </c>
      <c r="AB25">
        <v>0</v>
      </c>
      <c r="AC25">
        <v>0</v>
      </c>
      <c r="AD25">
        <v>0</v>
      </c>
      <c r="AE25">
        <v>2.44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5</v>
      </c>
      <c r="AT25">
        <v>0.35</v>
      </c>
      <c r="AU25" t="s">
        <v>5</v>
      </c>
      <c r="AV25">
        <v>0</v>
      </c>
      <c r="AW25">
        <v>2</v>
      </c>
      <c r="AX25">
        <v>34765070</v>
      </c>
      <c r="AY25">
        <v>1</v>
      </c>
      <c r="AZ25">
        <v>0</v>
      </c>
      <c r="BA25">
        <v>33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0.18182499999999999</v>
      </c>
      <c r="CY25">
        <f>AA25</f>
        <v>2.44</v>
      </c>
      <c r="CZ25">
        <f>AE25</f>
        <v>2.44</v>
      </c>
      <c r="DA25">
        <f>AI25</f>
        <v>1</v>
      </c>
      <c r="DB25">
        <v>0</v>
      </c>
      <c r="DH25">
        <f>Source!I30*SmtRes!Y25</f>
        <v>0.18182499999999999</v>
      </c>
      <c r="DI25">
        <f>AA25</f>
        <v>2.44</v>
      </c>
      <c r="DJ25">
        <f>EtalonRes!Y33</f>
        <v>2.44</v>
      </c>
      <c r="DK25">
        <f>Source!BC30</f>
        <v>1</v>
      </c>
      <c r="GQ25">
        <v>-1</v>
      </c>
      <c r="GR25">
        <v>-1</v>
      </c>
    </row>
    <row r="26" spans="1:200" x14ac:dyDescent="0.2">
      <c r="A26">
        <f>ROW(Source!A30)</f>
        <v>30</v>
      </c>
      <c r="B26">
        <v>34763685</v>
      </c>
      <c r="C26">
        <v>34763864</v>
      </c>
      <c r="D26">
        <v>31451984</v>
      </c>
      <c r="E26">
        <v>1</v>
      </c>
      <c r="F26">
        <v>1</v>
      </c>
      <c r="G26">
        <v>1</v>
      </c>
      <c r="H26">
        <v>3</v>
      </c>
      <c r="I26" t="s">
        <v>243</v>
      </c>
      <c r="J26" t="s">
        <v>244</v>
      </c>
      <c r="K26" t="s">
        <v>245</v>
      </c>
      <c r="L26">
        <v>1339</v>
      </c>
      <c r="N26">
        <v>1007</v>
      </c>
      <c r="O26" t="s">
        <v>242</v>
      </c>
      <c r="P26" t="s">
        <v>242</v>
      </c>
      <c r="Q26">
        <v>1</v>
      </c>
      <c r="W26">
        <v>0</v>
      </c>
      <c r="X26">
        <v>-1001479081</v>
      </c>
      <c r="Y26">
        <v>4.4000000000000004</v>
      </c>
      <c r="AA26">
        <v>517.91</v>
      </c>
      <c r="AB26">
        <v>0</v>
      </c>
      <c r="AC26">
        <v>0</v>
      </c>
      <c r="AD26">
        <v>0</v>
      </c>
      <c r="AE26">
        <v>517.91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5</v>
      </c>
      <c r="AT26">
        <v>4.4000000000000004</v>
      </c>
      <c r="AU26" t="s">
        <v>5</v>
      </c>
      <c r="AV26">
        <v>0</v>
      </c>
      <c r="AW26">
        <v>2</v>
      </c>
      <c r="AX26">
        <v>34765072</v>
      </c>
      <c r="AY26">
        <v>1</v>
      </c>
      <c r="AZ26">
        <v>0</v>
      </c>
      <c r="BA26">
        <v>35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2.2858000000000001</v>
      </c>
      <c r="CY26">
        <f>AA26</f>
        <v>517.91</v>
      </c>
      <c r="CZ26">
        <f>AE26</f>
        <v>517.91</v>
      </c>
      <c r="DA26">
        <f>AI26</f>
        <v>1</v>
      </c>
      <c r="DB26">
        <v>0</v>
      </c>
      <c r="DH26">
        <f>Source!I30*SmtRes!Y26</f>
        <v>2.2858000000000001</v>
      </c>
      <c r="DI26">
        <f>AA26</f>
        <v>517.91</v>
      </c>
      <c r="DJ26">
        <f>EtalonRes!Y35</f>
        <v>517.91</v>
      </c>
      <c r="DK26">
        <f>Source!BC30</f>
        <v>1</v>
      </c>
      <c r="GQ26">
        <v>-1</v>
      </c>
      <c r="GR26">
        <v>-1</v>
      </c>
    </row>
    <row r="27" spans="1:200" x14ac:dyDescent="0.2">
      <c r="A27">
        <f>ROW(Source!A31)</f>
        <v>31</v>
      </c>
      <c r="B27">
        <v>34763707</v>
      </c>
      <c r="C27">
        <v>34763864</v>
      </c>
      <c r="D27">
        <v>31714778</v>
      </c>
      <c r="E27">
        <v>1</v>
      </c>
      <c r="F27">
        <v>1</v>
      </c>
      <c r="G27">
        <v>1</v>
      </c>
      <c r="H27">
        <v>1</v>
      </c>
      <c r="I27" t="s">
        <v>246</v>
      </c>
      <c r="J27" t="s">
        <v>5</v>
      </c>
      <c r="K27" t="s">
        <v>247</v>
      </c>
      <c r="L27">
        <v>1191</v>
      </c>
      <c r="N27">
        <v>1013</v>
      </c>
      <c r="O27" t="s">
        <v>224</v>
      </c>
      <c r="P27" t="s">
        <v>224</v>
      </c>
      <c r="Q27">
        <v>1</v>
      </c>
      <c r="W27">
        <v>0</v>
      </c>
      <c r="X27">
        <v>-598469600</v>
      </c>
      <c r="Y27">
        <v>323.39999999999998</v>
      </c>
      <c r="AA27">
        <v>0</v>
      </c>
      <c r="AB27">
        <v>0</v>
      </c>
      <c r="AC27">
        <v>0</v>
      </c>
      <c r="AD27">
        <v>62.99</v>
      </c>
      <c r="AE27">
        <v>0</v>
      </c>
      <c r="AF27">
        <v>0</v>
      </c>
      <c r="AG27">
        <v>0</v>
      </c>
      <c r="AH27">
        <v>9.2899999999999991</v>
      </c>
      <c r="AI27">
        <v>1</v>
      </c>
      <c r="AJ27">
        <v>1</v>
      </c>
      <c r="AK27">
        <v>1</v>
      </c>
      <c r="AL27">
        <v>6.78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5</v>
      </c>
      <c r="AT27">
        <v>323.39999999999998</v>
      </c>
      <c r="AU27" t="s">
        <v>5</v>
      </c>
      <c r="AV27">
        <v>1</v>
      </c>
      <c r="AW27">
        <v>2</v>
      </c>
      <c r="AX27">
        <v>34765068</v>
      </c>
      <c r="AY27">
        <v>1</v>
      </c>
      <c r="AZ27">
        <v>0</v>
      </c>
      <c r="BA27">
        <v>36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168.00629999999998</v>
      </c>
      <c r="CY27">
        <f>AD27</f>
        <v>62.99</v>
      </c>
      <c r="CZ27">
        <f>AH27</f>
        <v>9.2899999999999991</v>
      </c>
      <c r="DA27">
        <f>AL27</f>
        <v>6.78</v>
      </c>
      <c r="DB27">
        <v>0</v>
      </c>
      <c r="GQ27">
        <v>-1</v>
      </c>
      <c r="GR27">
        <v>-1</v>
      </c>
    </row>
    <row r="28" spans="1:200" x14ac:dyDescent="0.2">
      <c r="A28">
        <f>ROW(Source!A31)</f>
        <v>31</v>
      </c>
      <c r="B28">
        <v>34763707</v>
      </c>
      <c r="C28">
        <v>34763864</v>
      </c>
      <c r="D28">
        <v>31526951</v>
      </c>
      <c r="E28">
        <v>1</v>
      </c>
      <c r="F28">
        <v>1</v>
      </c>
      <c r="G28">
        <v>1</v>
      </c>
      <c r="H28">
        <v>2</v>
      </c>
      <c r="I28" t="s">
        <v>236</v>
      </c>
      <c r="J28" t="s">
        <v>237</v>
      </c>
      <c r="K28" t="s">
        <v>238</v>
      </c>
      <c r="L28">
        <v>1368</v>
      </c>
      <c r="N28">
        <v>1011</v>
      </c>
      <c r="O28" t="s">
        <v>230</v>
      </c>
      <c r="P28" t="s">
        <v>230</v>
      </c>
      <c r="Q28">
        <v>1</v>
      </c>
      <c r="W28">
        <v>0</v>
      </c>
      <c r="X28">
        <v>1047452784</v>
      </c>
      <c r="Y28">
        <v>1.36</v>
      </c>
      <c r="AA28">
        <v>0</v>
      </c>
      <c r="AB28">
        <v>11.53</v>
      </c>
      <c r="AC28">
        <v>0</v>
      </c>
      <c r="AD28">
        <v>0</v>
      </c>
      <c r="AE28">
        <v>0</v>
      </c>
      <c r="AF28">
        <v>1.7</v>
      </c>
      <c r="AG28">
        <v>0</v>
      </c>
      <c r="AH28">
        <v>0</v>
      </c>
      <c r="AI28">
        <v>1</v>
      </c>
      <c r="AJ28">
        <v>6.78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5</v>
      </c>
      <c r="AT28">
        <v>1.36</v>
      </c>
      <c r="AU28" t="s">
        <v>5</v>
      </c>
      <c r="AV28">
        <v>0</v>
      </c>
      <c r="AW28">
        <v>2</v>
      </c>
      <c r="AX28">
        <v>34765069</v>
      </c>
      <c r="AY28">
        <v>1</v>
      </c>
      <c r="AZ28">
        <v>0</v>
      </c>
      <c r="BA28">
        <v>37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0.70652000000000004</v>
      </c>
      <c r="CY28">
        <f>AB28</f>
        <v>11.53</v>
      </c>
      <c r="CZ28">
        <f>AF28</f>
        <v>1.7</v>
      </c>
      <c r="DA28">
        <f>AJ28</f>
        <v>6.78</v>
      </c>
      <c r="DB28">
        <v>0</v>
      </c>
      <c r="GQ28">
        <v>-1</v>
      </c>
      <c r="GR28">
        <v>-1</v>
      </c>
    </row>
    <row r="29" spans="1:200" x14ac:dyDescent="0.2">
      <c r="A29">
        <f>ROW(Source!A31)</f>
        <v>31</v>
      </c>
      <c r="B29">
        <v>34763707</v>
      </c>
      <c r="C29">
        <v>34763864</v>
      </c>
      <c r="D29">
        <v>31446395</v>
      </c>
      <c r="E29">
        <v>1</v>
      </c>
      <c r="F29">
        <v>1</v>
      </c>
      <c r="G29">
        <v>1</v>
      </c>
      <c r="H29">
        <v>3</v>
      </c>
      <c r="I29" t="s">
        <v>239</v>
      </c>
      <c r="J29" t="s">
        <v>240</v>
      </c>
      <c r="K29" t="s">
        <v>241</v>
      </c>
      <c r="L29">
        <v>1339</v>
      </c>
      <c r="N29">
        <v>1007</v>
      </c>
      <c r="O29" t="s">
        <v>242</v>
      </c>
      <c r="P29" t="s">
        <v>242</v>
      </c>
      <c r="Q29">
        <v>1</v>
      </c>
      <c r="W29">
        <v>0</v>
      </c>
      <c r="X29">
        <v>-1660354250</v>
      </c>
      <c r="Y29">
        <v>0.35</v>
      </c>
      <c r="AA29">
        <v>16.54</v>
      </c>
      <c r="AB29">
        <v>0</v>
      </c>
      <c r="AC29">
        <v>0</v>
      </c>
      <c r="AD29">
        <v>0</v>
      </c>
      <c r="AE29">
        <v>2.44</v>
      </c>
      <c r="AF29">
        <v>0</v>
      </c>
      <c r="AG29">
        <v>0</v>
      </c>
      <c r="AH29">
        <v>0</v>
      </c>
      <c r="AI29">
        <v>6.78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5</v>
      </c>
      <c r="AT29">
        <v>0.35</v>
      </c>
      <c r="AU29" t="s">
        <v>5</v>
      </c>
      <c r="AV29">
        <v>0</v>
      </c>
      <c r="AW29">
        <v>2</v>
      </c>
      <c r="AX29">
        <v>34765070</v>
      </c>
      <c r="AY29">
        <v>1</v>
      </c>
      <c r="AZ29">
        <v>0</v>
      </c>
      <c r="BA29">
        <v>38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0.18182499999999999</v>
      </c>
      <c r="CY29">
        <f>AA29</f>
        <v>16.54</v>
      </c>
      <c r="CZ29">
        <f>AE29</f>
        <v>2.44</v>
      </c>
      <c r="DA29">
        <f>AI29</f>
        <v>6.78</v>
      </c>
      <c r="DB29">
        <v>0</v>
      </c>
      <c r="DH29">
        <f>Source!I31*SmtRes!Y29</f>
        <v>0.18182499999999999</v>
      </c>
      <c r="DI29">
        <f>AA29</f>
        <v>16.54</v>
      </c>
      <c r="DJ29">
        <f>EtalonRes!Y38</f>
        <v>2.44</v>
      </c>
      <c r="DK29">
        <f>Source!BC31</f>
        <v>6.78</v>
      </c>
      <c r="GQ29">
        <v>-1</v>
      </c>
      <c r="GR29">
        <v>-1</v>
      </c>
    </row>
    <row r="30" spans="1:200" x14ac:dyDescent="0.2">
      <c r="A30">
        <f>ROW(Source!A31)</f>
        <v>31</v>
      </c>
      <c r="B30">
        <v>34763707</v>
      </c>
      <c r="C30">
        <v>34763864</v>
      </c>
      <c r="D30">
        <v>31451984</v>
      </c>
      <c r="E30">
        <v>1</v>
      </c>
      <c r="F30">
        <v>1</v>
      </c>
      <c r="G30">
        <v>1</v>
      </c>
      <c r="H30">
        <v>3</v>
      </c>
      <c r="I30" t="s">
        <v>243</v>
      </c>
      <c r="J30" t="s">
        <v>244</v>
      </c>
      <c r="K30" t="s">
        <v>245</v>
      </c>
      <c r="L30">
        <v>1339</v>
      </c>
      <c r="N30">
        <v>1007</v>
      </c>
      <c r="O30" t="s">
        <v>242</v>
      </c>
      <c r="P30" t="s">
        <v>242</v>
      </c>
      <c r="Q30">
        <v>1</v>
      </c>
      <c r="W30">
        <v>0</v>
      </c>
      <c r="X30">
        <v>-1001479081</v>
      </c>
      <c r="Y30">
        <v>4.4000000000000004</v>
      </c>
      <c r="AA30">
        <v>3511.43</v>
      </c>
      <c r="AB30">
        <v>0</v>
      </c>
      <c r="AC30">
        <v>0</v>
      </c>
      <c r="AD30">
        <v>0</v>
      </c>
      <c r="AE30">
        <v>517.91</v>
      </c>
      <c r="AF30">
        <v>0</v>
      </c>
      <c r="AG30">
        <v>0</v>
      </c>
      <c r="AH30">
        <v>0</v>
      </c>
      <c r="AI30">
        <v>6.78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5</v>
      </c>
      <c r="AT30">
        <v>4.4000000000000004</v>
      </c>
      <c r="AU30" t="s">
        <v>5</v>
      </c>
      <c r="AV30">
        <v>0</v>
      </c>
      <c r="AW30">
        <v>2</v>
      </c>
      <c r="AX30">
        <v>34765072</v>
      </c>
      <c r="AY30">
        <v>1</v>
      </c>
      <c r="AZ30">
        <v>0</v>
      </c>
      <c r="BA30">
        <v>40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2.2858000000000001</v>
      </c>
      <c r="CY30">
        <f>AA30</f>
        <v>3511.43</v>
      </c>
      <c r="CZ30">
        <f>AE30</f>
        <v>517.91</v>
      </c>
      <c r="DA30">
        <f>AI30</f>
        <v>6.78</v>
      </c>
      <c r="DB30">
        <v>0</v>
      </c>
      <c r="DH30">
        <f>Source!I31*SmtRes!Y30</f>
        <v>2.2858000000000001</v>
      </c>
      <c r="DI30">
        <f>AA30</f>
        <v>3511.43</v>
      </c>
      <c r="DJ30">
        <f>EtalonRes!Y40</f>
        <v>517.91</v>
      </c>
      <c r="DK30">
        <f>Source!BC31</f>
        <v>6.78</v>
      </c>
      <c r="GQ30">
        <v>-1</v>
      </c>
      <c r="GR30">
        <v>-1</v>
      </c>
    </row>
    <row r="31" spans="1:200" x14ac:dyDescent="0.2">
      <c r="A31">
        <f>ROW(Source!A32)</f>
        <v>32</v>
      </c>
      <c r="B31">
        <v>34763685</v>
      </c>
      <c r="C31">
        <v>34763871</v>
      </c>
      <c r="D31">
        <v>31709863</v>
      </c>
      <c r="E31">
        <v>1</v>
      </c>
      <c r="F31">
        <v>1</v>
      </c>
      <c r="G31">
        <v>1</v>
      </c>
      <c r="H31">
        <v>1</v>
      </c>
      <c r="I31" t="s">
        <v>248</v>
      </c>
      <c r="J31" t="s">
        <v>5</v>
      </c>
      <c r="K31" t="s">
        <v>249</v>
      </c>
      <c r="L31">
        <v>1191</v>
      </c>
      <c r="N31">
        <v>1013</v>
      </c>
      <c r="O31" t="s">
        <v>224</v>
      </c>
      <c r="P31" t="s">
        <v>224</v>
      </c>
      <c r="Q31">
        <v>1</v>
      </c>
      <c r="W31">
        <v>0</v>
      </c>
      <c r="X31">
        <v>-400197608</v>
      </c>
      <c r="Y31">
        <v>24.05</v>
      </c>
      <c r="AA31">
        <v>0</v>
      </c>
      <c r="AB31">
        <v>0</v>
      </c>
      <c r="AC31">
        <v>0</v>
      </c>
      <c r="AD31">
        <v>8.5299999999999994</v>
      </c>
      <c r="AE31">
        <v>0</v>
      </c>
      <c r="AF31">
        <v>0</v>
      </c>
      <c r="AG31">
        <v>0</v>
      </c>
      <c r="AH31">
        <v>8.5299999999999994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5</v>
      </c>
      <c r="AT31">
        <v>24.05</v>
      </c>
      <c r="AU31" t="s">
        <v>5</v>
      </c>
      <c r="AV31">
        <v>1</v>
      </c>
      <c r="AW31">
        <v>2</v>
      </c>
      <c r="AX31">
        <v>34765074</v>
      </c>
      <c r="AY31">
        <v>1</v>
      </c>
      <c r="AZ31">
        <v>0</v>
      </c>
      <c r="BA31">
        <v>41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113.210565</v>
      </c>
      <c r="CY31">
        <f>AD31</f>
        <v>8.5299999999999994</v>
      </c>
      <c r="CZ31">
        <f>AH31</f>
        <v>8.5299999999999994</v>
      </c>
      <c r="DA31">
        <f>AL31</f>
        <v>1</v>
      </c>
      <c r="DB31">
        <v>0</v>
      </c>
      <c r="GQ31">
        <v>-1</v>
      </c>
      <c r="GR31">
        <v>-1</v>
      </c>
    </row>
    <row r="32" spans="1:200" x14ac:dyDescent="0.2">
      <c r="A32">
        <f>ROW(Source!A32)</f>
        <v>32</v>
      </c>
      <c r="B32">
        <v>34763685</v>
      </c>
      <c r="C32">
        <v>34763871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225</v>
      </c>
      <c r="J32" t="s">
        <v>5</v>
      </c>
      <c r="K32" t="s">
        <v>226</v>
      </c>
      <c r="L32">
        <v>1191</v>
      </c>
      <c r="N32">
        <v>1013</v>
      </c>
      <c r="O32" t="s">
        <v>224</v>
      </c>
      <c r="P32" t="s">
        <v>224</v>
      </c>
      <c r="Q32">
        <v>1</v>
      </c>
      <c r="W32">
        <v>0</v>
      </c>
      <c r="X32">
        <v>-1417349443</v>
      </c>
      <c r="Y32">
        <v>0.01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5</v>
      </c>
      <c r="AT32">
        <v>0.01</v>
      </c>
      <c r="AU32" t="s">
        <v>5</v>
      </c>
      <c r="AV32">
        <v>2</v>
      </c>
      <c r="AW32">
        <v>2</v>
      </c>
      <c r="AX32">
        <v>34765075</v>
      </c>
      <c r="AY32">
        <v>1</v>
      </c>
      <c r="AZ32">
        <v>0</v>
      </c>
      <c r="BA32">
        <v>42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4.7073000000000004E-2</v>
      </c>
      <c r="CY32">
        <f>AD32</f>
        <v>0</v>
      </c>
      <c r="CZ32">
        <f>AH32</f>
        <v>0</v>
      </c>
      <c r="DA32">
        <f>AL32</f>
        <v>1</v>
      </c>
      <c r="DB32">
        <v>0</v>
      </c>
      <c r="GQ32">
        <v>-1</v>
      </c>
      <c r="GR32">
        <v>-1</v>
      </c>
    </row>
    <row r="33" spans="1:200" x14ac:dyDescent="0.2">
      <c r="A33">
        <f>ROW(Source!A32)</f>
        <v>32</v>
      </c>
      <c r="B33">
        <v>34763685</v>
      </c>
      <c r="C33">
        <v>34763871</v>
      </c>
      <c r="D33">
        <v>31528142</v>
      </c>
      <c r="E33">
        <v>1</v>
      </c>
      <c r="F33">
        <v>1</v>
      </c>
      <c r="G33">
        <v>1</v>
      </c>
      <c r="H33">
        <v>2</v>
      </c>
      <c r="I33" t="s">
        <v>227</v>
      </c>
      <c r="J33" t="s">
        <v>228</v>
      </c>
      <c r="K33" t="s">
        <v>229</v>
      </c>
      <c r="L33">
        <v>1368</v>
      </c>
      <c r="N33">
        <v>1011</v>
      </c>
      <c r="O33" t="s">
        <v>230</v>
      </c>
      <c r="P33" t="s">
        <v>230</v>
      </c>
      <c r="Q33">
        <v>1</v>
      </c>
      <c r="W33">
        <v>0</v>
      </c>
      <c r="X33">
        <v>1372534845</v>
      </c>
      <c r="Y33">
        <v>0.01</v>
      </c>
      <c r="AA33">
        <v>0</v>
      </c>
      <c r="AB33">
        <v>65.709999999999994</v>
      </c>
      <c r="AC33">
        <v>11.6</v>
      </c>
      <c r="AD33">
        <v>0</v>
      </c>
      <c r="AE33">
        <v>0</v>
      </c>
      <c r="AF33">
        <v>65.709999999999994</v>
      </c>
      <c r="AG33">
        <v>11.6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5</v>
      </c>
      <c r="AT33">
        <v>0.01</v>
      </c>
      <c r="AU33" t="s">
        <v>5</v>
      </c>
      <c r="AV33">
        <v>0</v>
      </c>
      <c r="AW33">
        <v>2</v>
      </c>
      <c r="AX33">
        <v>34765076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Y33*Source!I32</f>
        <v>4.7073000000000004E-2</v>
      </c>
      <c r="CY33">
        <f>AB33</f>
        <v>65.709999999999994</v>
      </c>
      <c r="CZ33">
        <f>AF33</f>
        <v>65.709999999999994</v>
      </c>
      <c r="DA33">
        <f>AJ33</f>
        <v>1</v>
      </c>
      <c r="DB33">
        <v>0</v>
      </c>
      <c r="GQ33">
        <v>-1</v>
      </c>
      <c r="GR33">
        <v>-1</v>
      </c>
    </row>
    <row r="34" spans="1:200" x14ac:dyDescent="0.2">
      <c r="A34">
        <f>ROW(Source!A32)</f>
        <v>32</v>
      </c>
      <c r="B34">
        <v>34763685</v>
      </c>
      <c r="C34">
        <v>34763871</v>
      </c>
      <c r="D34">
        <v>31444415</v>
      </c>
      <c r="E34">
        <v>1</v>
      </c>
      <c r="F34">
        <v>1</v>
      </c>
      <c r="G34">
        <v>1</v>
      </c>
      <c r="H34">
        <v>3</v>
      </c>
      <c r="I34" t="s">
        <v>250</v>
      </c>
      <c r="J34" t="s">
        <v>251</v>
      </c>
      <c r="K34" t="s">
        <v>252</v>
      </c>
      <c r="L34">
        <v>1348</v>
      </c>
      <c r="N34">
        <v>1009</v>
      </c>
      <c r="O34" t="s">
        <v>44</v>
      </c>
      <c r="P34" t="s">
        <v>44</v>
      </c>
      <c r="Q34">
        <v>1000</v>
      </c>
      <c r="W34">
        <v>0</v>
      </c>
      <c r="X34">
        <v>269393752</v>
      </c>
      <c r="Y34">
        <v>1.2E-2</v>
      </c>
      <c r="AA34">
        <v>3210.5</v>
      </c>
      <c r="AB34">
        <v>0</v>
      </c>
      <c r="AC34">
        <v>0</v>
      </c>
      <c r="AD34">
        <v>0</v>
      </c>
      <c r="AE34">
        <v>3210.5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5</v>
      </c>
      <c r="AT34">
        <v>1.2E-2</v>
      </c>
      <c r="AU34" t="s">
        <v>5</v>
      </c>
      <c r="AV34">
        <v>0</v>
      </c>
      <c r="AW34">
        <v>2</v>
      </c>
      <c r="AX34">
        <v>34765077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Y34*Source!I32</f>
        <v>5.6487599999999999E-2</v>
      </c>
      <c r="CY34">
        <f t="shared" ref="CY34:CY39" si="0">AA34</f>
        <v>3210.5</v>
      </c>
      <c r="CZ34">
        <f t="shared" ref="CZ34:CZ39" si="1">AE34</f>
        <v>3210.5</v>
      </c>
      <c r="DA34">
        <f t="shared" ref="DA34:DA39" si="2">AI34</f>
        <v>1</v>
      </c>
      <c r="DB34">
        <v>0</v>
      </c>
      <c r="DH34">
        <f>Source!I32*SmtRes!Y34</f>
        <v>5.6487599999999999E-2</v>
      </c>
      <c r="DI34">
        <f t="shared" ref="DI34:DI39" si="3">AA34</f>
        <v>3210.5</v>
      </c>
      <c r="DJ34">
        <f>EtalonRes!Y44</f>
        <v>3210.5</v>
      </c>
      <c r="DK34">
        <f>Source!BC32</f>
        <v>1</v>
      </c>
      <c r="GQ34">
        <v>-1</v>
      </c>
      <c r="GR34">
        <v>-1</v>
      </c>
    </row>
    <row r="35" spans="1:200" x14ac:dyDescent="0.2">
      <c r="A35">
        <f>ROW(Source!A32)</f>
        <v>32</v>
      </c>
      <c r="B35">
        <v>34763685</v>
      </c>
      <c r="C35">
        <v>34763871</v>
      </c>
      <c r="D35">
        <v>31446826</v>
      </c>
      <c r="E35">
        <v>1</v>
      </c>
      <c r="F35">
        <v>1</v>
      </c>
      <c r="G35">
        <v>1</v>
      </c>
      <c r="H35">
        <v>3</v>
      </c>
      <c r="I35" t="s">
        <v>253</v>
      </c>
      <c r="J35" t="s">
        <v>254</v>
      </c>
      <c r="K35" t="s">
        <v>255</v>
      </c>
      <c r="L35">
        <v>1348</v>
      </c>
      <c r="N35">
        <v>1009</v>
      </c>
      <c r="O35" t="s">
        <v>44</v>
      </c>
      <c r="P35" t="s">
        <v>44</v>
      </c>
      <c r="Q35">
        <v>1000</v>
      </c>
      <c r="W35">
        <v>0</v>
      </c>
      <c r="X35">
        <v>-1704802034</v>
      </c>
      <c r="Y35">
        <v>3.0000000000000001E-3</v>
      </c>
      <c r="AA35">
        <v>16385</v>
      </c>
      <c r="AB35">
        <v>0</v>
      </c>
      <c r="AC35">
        <v>0</v>
      </c>
      <c r="AD35">
        <v>0</v>
      </c>
      <c r="AE35">
        <v>16385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5</v>
      </c>
      <c r="AT35">
        <v>3.0000000000000001E-3</v>
      </c>
      <c r="AU35" t="s">
        <v>5</v>
      </c>
      <c r="AV35">
        <v>0</v>
      </c>
      <c r="AW35">
        <v>2</v>
      </c>
      <c r="AX35">
        <v>34765078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Y35*Source!I32</f>
        <v>1.41219E-2</v>
      </c>
      <c r="CY35">
        <f t="shared" si="0"/>
        <v>16385</v>
      </c>
      <c r="CZ35">
        <f t="shared" si="1"/>
        <v>16385</v>
      </c>
      <c r="DA35">
        <f t="shared" si="2"/>
        <v>1</v>
      </c>
      <c r="DB35">
        <v>0</v>
      </c>
      <c r="DH35">
        <f>Source!I32*SmtRes!Y35</f>
        <v>1.41219E-2</v>
      </c>
      <c r="DI35">
        <f t="shared" si="3"/>
        <v>16385</v>
      </c>
      <c r="DJ35">
        <f>EtalonRes!Y45</f>
        <v>16385</v>
      </c>
      <c r="DK35">
        <f>Source!BC32</f>
        <v>1</v>
      </c>
      <c r="GQ35">
        <v>-1</v>
      </c>
      <c r="GR35">
        <v>-1</v>
      </c>
    </row>
    <row r="36" spans="1:200" x14ac:dyDescent="0.2">
      <c r="A36">
        <f>ROW(Source!A32)</f>
        <v>32</v>
      </c>
      <c r="B36">
        <v>34763685</v>
      </c>
      <c r="C36">
        <v>34763871</v>
      </c>
      <c r="D36">
        <v>31447124</v>
      </c>
      <c r="E36">
        <v>1</v>
      </c>
      <c r="F36">
        <v>1</v>
      </c>
      <c r="G36">
        <v>1</v>
      </c>
      <c r="H36">
        <v>3</v>
      </c>
      <c r="I36" t="s">
        <v>256</v>
      </c>
      <c r="J36" t="s">
        <v>257</v>
      </c>
      <c r="K36" t="s">
        <v>258</v>
      </c>
      <c r="L36">
        <v>1348</v>
      </c>
      <c r="N36">
        <v>1009</v>
      </c>
      <c r="O36" t="s">
        <v>44</v>
      </c>
      <c r="P36" t="s">
        <v>44</v>
      </c>
      <c r="Q36">
        <v>1000</v>
      </c>
      <c r="W36">
        <v>0</v>
      </c>
      <c r="X36">
        <v>-526970962</v>
      </c>
      <c r="Y36">
        <v>1.2E-2</v>
      </c>
      <c r="AA36">
        <v>586.47</v>
      </c>
      <c r="AB36">
        <v>0</v>
      </c>
      <c r="AC36">
        <v>0</v>
      </c>
      <c r="AD36">
        <v>0</v>
      </c>
      <c r="AE36">
        <v>586.47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5</v>
      </c>
      <c r="AT36">
        <v>1.2E-2</v>
      </c>
      <c r="AU36" t="s">
        <v>5</v>
      </c>
      <c r="AV36">
        <v>0</v>
      </c>
      <c r="AW36">
        <v>2</v>
      </c>
      <c r="AX36">
        <v>34765079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Y36*Source!I32</f>
        <v>5.6487599999999999E-2</v>
      </c>
      <c r="CY36">
        <f t="shared" si="0"/>
        <v>586.47</v>
      </c>
      <c r="CZ36">
        <f t="shared" si="1"/>
        <v>586.47</v>
      </c>
      <c r="DA36">
        <f t="shared" si="2"/>
        <v>1</v>
      </c>
      <c r="DB36">
        <v>0</v>
      </c>
      <c r="DH36">
        <f>Source!I32*SmtRes!Y36</f>
        <v>5.6487599999999999E-2</v>
      </c>
      <c r="DI36">
        <f t="shared" si="3"/>
        <v>586.47</v>
      </c>
      <c r="DJ36">
        <f>EtalonRes!Y46</f>
        <v>586.47</v>
      </c>
      <c r="DK36">
        <f>Source!BC32</f>
        <v>1</v>
      </c>
      <c r="GQ36">
        <v>-1</v>
      </c>
      <c r="GR36">
        <v>-1</v>
      </c>
    </row>
    <row r="37" spans="1:200" x14ac:dyDescent="0.2">
      <c r="A37">
        <f>ROW(Source!A32)</f>
        <v>32</v>
      </c>
      <c r="B37">
        <v>34763685</v>
      </c>
      <c r="C37">
        <v>34763871</v>
      </c>
      <c r="D37">
        <v>31451016</v>
      </c>
      <c r="E37">
        <v>1</v>
      </c>
      <c r="F37">
        <v>1</v>
      </c>
      <c r="G37">
        <v>1</v>
      </c>
      <c r="H37">
        <v>3</v>
      </c>
      <c r="I37" t="s">
        <v>259</v>
      </c>
      <c r="J37" t="s">
        <v>260</v>
      </c>
      <c r="K37" t="s">
        <v>261</v>
      </c>
      <c r="L37">
        <v>1339</v>
      </c>
      <c r="N37">
        <v>1007</v>
      </c>
      <c r="O37" t="s">
        <v>242</v>
      </c>
      <c r="P37" t="s">
        <v>242</v>
      </c>
      <c r="Q37">
        <v>1</v>
      </c>
      <c r="W37">
        <v>0</v>
      </c>
      <c r="X37">
        <v>1795918813</v>
      </c>
      <c r="Y37">
        <v>4.7000000000000002E-3</v>
      </c>
      <c r="AA37">
        <v>74.58</v>
      </c>
      <c r="AB37">
        <v>0</v>
      </c>
      <c r="AC37">
        <v>0</v>
      </c>
      <c r="AD37">
        <v>0</v>
      </c>
      <c r="AE37">
        <v>74.58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5</v>
      </c>
      <c r="AT37">
        <v>4.7000000000000002E-3</v>
      </c>
      <c r="AU37" t="s">
        <v>5</v>
      </c>
      <c r="AV37">
        <v>0</v>
      </c>
      <c r="AW37">
        <v>2</v>
      </c>
      <c r="AX37">
        <v>34765080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Y37*Source!I32</f>
        <v>2.2124310000000001E-2</v>
      </c>
      <c r="CY37">
        <f t="shared" si="0"/>
        <v>74.58</v>
      </c>
      <c r="CZ37">
        <f t="shared" si="1"/>
        <v>74.58</v>
      </c>
      <c r="DA37">
        <f t="shared" si="2"/>
        <v>1</v>
      </c>
      <c r="DB37">
        <v>0</v>
      </c>
      <c r="DH37">
        <f>Source!I32*SmtRes!Y37</f>
        <v>2.2124310000000001E-2</v>
      </c>
      <c r="DI37">
        <f t="shared" si="3"/>
        <v>74.58</v>
      </c>
      <c r="DJ37">
        <f>EtalonRes!Y47</f>
        <v>74.58</v>
      </c>
      <c r="DK37">
        <f>Source!BC32</f>
        <v>1</v>
      </c>
      <c r="GQ37">
        <v>-1</v>
      </c>
      <c r="GR37">
        <v>-1</v>
      </c>
    </row>
    <row r="38" spans="1:200" x14ac:dyDescent="0.2">
      <c r="A38">
        <f>ROW(Source!A32)</f>
        <v>32</v>
      </c>
      <c r="B38">
        <v>34763685</v>
      </c>
      <c r="C38">
        <v>34763871</v>
      </c>
      <c r="D38">
        <v>31481587</v>
      </c>
      <c r="E38">
        <v>1</v>
      </c>
      <c r="F38">
        <v>1</v>
      </c>
      <c r="G38">
        <v>1</v>
      </c>
      <c r="H38">
        <v>3</v>
      </c>
      <c r="I38" t="s">
        <v>262</v>
      </c>
      <c r="J38" t="s">
        <v>263</v>
      </c>
      <c r="K38" t="s">
        <v>264</v>
      </c>
      <c r="L38">
        <v>1346</v>
      </c>
      <c r="N38">
        <v>1009</v>
      </c>
      <c r="O38" t="s">
        <v>265</v>
      </c>
      <c r="P38" t="s">
        <v>265</v>
      </c>
      <c r="Q38">
        <v>1</v>
      </c>
      <c r="W38">
        <v>0</v>
      </c>
      <c r="X38">
        <v>-1684093315</v>
      </c>
      <c r="Y38">
        <v>1.4</v>
      </c>
      <c r="AA38">
        <v>8.09</v>
      </c>
      <c r="AB38">
        <v>0</v>
      </c>
      <c r="AC38">
        <v>0</v>
      </c>
      <c r="AD38">
        <v>0</v>
      </c>
      <c r="AE38">
        <v>8.09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5</v>
      </c>
      <c r="AT38">
        <v>1.4</v>
      </c>
      <c r="AU38" t="s">
        <v>5</v>
      </c>
      <c r="AV38">
        <v>0</v>
      </c>
      <c r="AW38">
        <v>2</v>
      </c>
      <c r="AX38">
        <v>34765082</v>
      </c>
      <c r="AY38">
        <v>1</v>
      </c>
      <c r="AZ38">
        <v>0</v>
      </c>
      <c r="BA38">
        <v>49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Y38*Source!I32</f>
        <v>6.5902199999999995</v>
      </c>
      <c r="CY38">
        <f t="shared" si="0"/>
        <v>8.09</v>
      </c>
      <c r="CZ38">
        <f t="shared" si="1"/>
        <v>8.09</v>
      </c>
      <c r="DA38">
        <f t="shared" si="2"/>
        <v>1</v>
      </c>
      <c r="DB38">
        <v>0</v>
      </c>
      <c r="DH38">
        <f>Source!I32*SmtRes!Y38</f>
        <v>6.5902199999999995</v>
      </c>
      <c r="DI38">
        <f t="shared" si="3"/>
        <v>8.09</v>
      </c>
      <c r="DJ38">
        <f>EtalonRes!Y49</f>
        <v>8.09</v>
      </c>
      <c r="DK38">
        <f>Source!BC32</f>
        <v>1</v>
      </c>
      <c r="GQ38">
        <v>-1</v>
      </c>
      <c r="GR38">
        <v>-1</v>
      </c>
    </row>
    <row r="39" spans="1:200" x14ac:dyDescent="0.2">
      <c r="A39">
        <f>ROW(Source!A32)</f>
        <v>32</v>
      </c>
      <c r="B39">
        <v>34763685</v>
      </c>
      <c r="C39">
        <v>34763871</v>
      </c>
      <c r="D39">
        <v>0</v>
      </c>
      <c r="E39">
        <v>0</v>
      </c>
      <c r="F39">
        <v>1</v>
      </c>
      <c r="G39">
        <v>1</v>
      </c>
      <c r="H39">
        <v>3</v>
      </c>
      <c r="I39" t="s">
        <v>42</v>
      </c>
      <c r="J39" t="s">
        <v>5</v>
      </c>
      <c r="K39" t="s">
        <v>43</v>
      </c>
      <c r="L39">
        <v>1348</v>
      </c>
      <c r="N39">
        <v>1009</v>
      </c>
      <c r="O39" t="s">
        <v>44</v>
      </c>
      <c r="P39" t="s">
        <v>44</v>
      </c>
      <c r="Q39">
        <v>1000</v>
      </c>
      <c r="W39">
        <v>0</v>
      </c>
      <c r="X39">
        <v>1638798479</v>
      </c>
      <c r="Y39">
        <v>1.2E-2</v>
      </c>
      <c r="AA39">
        <v>15978.36</v>
      </c>
      <c r="AB39">
        <v>0</v>
      </c>
      <c r="AC39">
        <v>0</v>
      </c>
      <c r="AD39">
        <v>0</v>
      </c>
      <c r="AE39">
        <v>15978.36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5</v>
      </c>
      <c r="AT39">
        <v>1.2E-2</v>
      </c>
      <c r="AU39" t="s">
        <v>5</v>
      </c>
      <c r="AV39">
        <v>0</v>
      </c>
      <c r="AW39">
        <v>1</v>
      </c>
      <c r="AX39">
        <v>-1</v>
      </c>
      <c r="AY39">
        <v>0</v>
      </c>
      <c r="AZ39">
        <v>0</v>
      </c>
      <c r="BA39" t="s">
        <v>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Y39*Source!I32</f>
        <v>5.6487599999999999E-2</v>
      </c>
      <c r="CY39">
        <f t="shared" si="0"/>
        <v>15978.36</v>
      </c>
      <c r="CZ39">
        <f t="shared" si="1"/>
        <v>15978.36</v>
      </c>
      <c r="DA39">
        <f t="shared" si="2"/>
        <v>1</v>
      </c>
      <c r="DB39">
        <v>0</v>
      </c>
      <c r="DH39">
        <f>Source!I32*SmtRes!Y39</f>
        <v>5.6487599999999999E-2</v>
      </c>
      <c r="DI39">
        <f t="shared" si="3"/>
        <v>15978.36</v>
      </c>
      <c r="DK39">
        <f>Source!BC32</f>
        <v>1</v>
      </c>
      <c r="GP39">
        <v>1</v>
      </c>
      <c r="GQ39">
        <v>-1</v>
      </c>
      <c r="GR39">
        <v>-1</v>
      </c>
    </row>
    <row r="40" spans="1:200" x14ac:dyDescent="0.2">
      <c r="A40">
        <f>ROW(Source!A33)</f>
        <v>33</v>
      </c>
      <c r="B40">
        <v>34763707</v>
      </c>
      <c r="C40">
        <v>34763871</v>
      </c>
      <c r="D40">
        <v>31709863</v>
      </c>
      <c r="E40">
        <v>1</v>
      </c>
      <c r="F40">
        <v>1</v>
      </c>
      <c r="G40">
        <v>1</v>
      </c>
      <c r="H40">
        <v>1</v>
      </c>
      <c r="I40" t="s">
        <v>248</v>
      </c>
      <c r="J40" t="s">
        <v>5</v>
      </c>
      <c r="K40" t="s">
        <v>249</v>
      </c>
      <c r="L40">
        <v>1191</v>
      </c>
      <c r="N40">
        <v>1013</v>
      </c>
      <c r="O40" t="s">
        <v>224</v>
      </c>
      <c r="P40" t="s">
        <v>224</v>
      </c>
      <c r="Q40">
        <v>1</v>
      </c>
      <c r="W40">
        <v>0</v>
      </c>
      <c r="X40">
        <v>-400197608</v>
      </c>
      <c r="Y40">
        <v>24.05</v>
      </c>
      <c r="AA40">
        <v>0</v>
      </c>
      <c r="AB40">
        <v>0</v>
      </c>
      <c r="AC40">
        <v>0</v>
      </c>
      <c r="AD40">
        <v>57.83</v>
      </c>
      <c r="AE40">
        <v>0</v>
      </c>
      <c r="AF40">
        <v>0</v>
      </c>
      <c r="AG40">
        <v>0</v>
      </c>
      <c r="AH40">
        <v>8.5299999999999994</v>
      </c>
      <c r="AI40">
        <v>1</v>
      </c>
      <c r="AJ40">
        <v>1</v>
      </c>
      <c r="AK40">
        <v>1</v>
      </c>
      <c r="AL40">
        <v>6.78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5</v>
      </c>
      <c r="AT40">
        <v>24.05</v>
      </c>
      <c r="AU40" t="s">
        <v>5</v>
      </c>
      <c r="AV40">
        <v>1</v>
      </c>
      <c r="AW40">
        <v>2</v>
      </c>
      <c r="AX40">
        <v>34765074</v>
      </c>
      <c r="AY40">
        <v>1</v>
      </c>
      <c r="AZ40">
        <v>0</v>
      </c>
      <c r="BA40">
        <v>50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Y40*Source!I33</f>
        <v>113.210565</v>
      </c>
      <c r="CY40">
        <f>AD40</f>
        <v>57.83</v>
      </c>
      <c r="CZ40">
        <f>AH40</f>
        <v>8.5299999999999994</v>
      </c>
      <c r="DA40">
        <f>AL40</f>
        <v>6.78</v>
      </c>
      <c r="DB40">
        <v>0</v>
      </c>
      <c r="GQ40">
        <v>-1</v>
      </c>
      <c r="GR40">
        <v>-1</v>
      </c>
    </row>
    <row r="41" spans="1:200" x14ac:dyDescent="0.2">
      <c r="A41">
        <f>ROW(Source!A33)</f>
        <v>33</v>
      </c>
      <c r="B41">
        <v>34763707</v>
      </c>
      <c r="C41">
        <v>34763871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225</v>
      </c>
      <c r="J41" t="s">
        <v>5</v>
      </c>
      <c r="K41" t="s">
        <v>226</v>
      </c>
      <c r="L41">
        <v>1191</v>
      </c>
      <c r="N41">
        <v>1013</v>
      </c>
      <c r="O41" t="s">
        <v>224</v>
      </c>
      <c r="P41" t="s">
        <v>224</v>
      </c>
      <c r="Q41">
        <v>1</v>
      </c>
      <c r="W41">
        <v>0</v>
      </c>
      <c r="X41">
        <v>-1417349443</v>
      </c>
      <c r="Y41">
        <v>0.01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6.78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5</v>
      </c>
      <c r="AT41">
        <v>0.01</v>
      </c>
      <c r="AU41" t="s">
        <v>5</v>
      </c>
      <c r="AV41">
        <v>2</v>
      </c>
      <c r="AW41">
        <v>2</v>
      </c>
      <c r="AX41">
        <v>34765075</v>
      </c>
      <c r="AY41">
        <v>1</v>
      </c>
      <c r="AZ41">
        <v>0</v>
      </c>
      <c r="BA41">
        <v>51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Y41*Source!I33</f>
        <v>4.7073000000000004E-2</v>
      </c>
      <c r="CY41">
        <f>AD41</f>
        <v>0</v>
      </c>
      <c r="CZ41">
        <f>AH41</f>
        <v>0</v>
      </c>
      <c r="DA41">
        <f>AL41</f>
        <v>1</v>
      </c>
      <c r="DB41">
        <v>0</v>
      </c>
      <c r="GQ41">
        <v>-1</v>
      </c>
      <c r="GR41">
        <v>-1</v>
      </c>
    </row>
    <row r="42" spans="1:200" x14ac:dyDescent="0.2">
      <c r="A42">
        <f>ROW(Source!A33)</f>
        <v>33</v>
      </c>
      <c r="B42">
        <v>34763707</v>
      </c>
      <c r="C42">
        <v>34763871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227</v>
      </c>
      <c r="J42" t="s">
        <v>228</v>
      </c>
      <c r="K42" t="s">
        <v>229</v>
      </c>
      <c r="L42">
        <v>1368</v>
      </c>
      <c r="N42">
        <v>1011</v>
      </c>
      <c r="O42" t="s">
        <v>230</v>
      </c>
      <c r="P42" t="s">
        <v>230</v>
      </c>
      <c r="Q42">
        <v>1</v>
      </c>
      <c r="W42">
        <v>0</v>
      </c>
      <c r="X42">
        <v>1372534845</v>
      </c>
      <c r="Y42">
        <v>0.01</v>
      </c>
      <c r="AA42">
        <v>0</v>
      </c>
      <c r="AB42">
        <v>445.51</v>
      </c>
      <c r="AC42">
        <v>11.6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6.78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5</v>
      </c>
      <c r="AT42">
        <v>0.01</v>
      </c>
      <c r="AU42" t="s">
        <v>5</v>
      </c>
      <c r="AV42">
        <v>0</v>
      </c>
      <c r="AW42">
        <v>2</v>
      </c>
      <c r="AX42">
        <v>34765076</v>
      </c>
      <c r="AY42">
        <v>1</v>
      </c>
      <c r="AZ42">
        <v>0</v>
      </c>
      <c r="BA42">
        <v>52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Y42*Source!I33</f>
        <v>4.7073000000000004E-2</v>
      </c>
      <c r="CY42">
        <f>AB42</f>
        <v>445.51</v>
      </c>
      <c r="CZ42">
        <f>AF42</f>
        <v>65.709999999999994</v>
      </c>
      <c r="DA42">
        <f>AJ42</f>
        <v>6.78</v>
      </c>
      <c r="DB42">
        <v>0</v>
      </c>
      <c r="GQ42">
        <v>-1</v>
      </c>
      <c r="GR42">
        <v>-1</v>
      </c>
    </row>
    <row r="43" spans="1:200" x14ac:dyDescent="0.2">
      <c r="A43">
        <f>ROW(Source!A33)</f>
        <v>33</v>
      </c>
      <c r="B43">
        <v>34763707</v>
      </c>
      <c r="C43">
        <v>34763871</v>
      </c>
      <c r="D43">
        <v>31444415</v>
      </c>
      <c r="E43">
        <v>1</v>
      </c>
      <c r="F43">
        <v>1</v>
      </c>
      <c r="G43">
        <v>1</v>
      </c>
      <c r="H43">
        <v>3</v>
      </c>
      <c r="I43" t="s">
        <v>250</v>
      </c>
      <c r="J43" t="s">
        <v>251</v>
      </c>
      <c r="K43" t="s">
        <v>252</v>
      </c>
      <c r="L43">
        <v>1348</v>
      </c>
      <c r="N43">
        <v>1009</v>
      </c>
      <c r="O43" t="s">
        <v>44</v>
      </c>
      <c r="P43" t="s">
        <v>44</v>
      </c>
      <c r="Q43">
        <v>1000</v>
      </c>
      <c r="W43">
        <v>0</v>
      </c>
      <c r="X43">
        <v>269393752</v>
      </c>
      <c r="Y43">
        <v>1.2E-2</v>
      </c>
      <c r="AA43">
        <v>21767.19</v>
      </c>
      <c r="AB43">
        <v>0</v>
      </c>
      <c r="AC43">
        <v>0</v>
      </c>
      <c r="AD43">
        <v>0</v>
      </c>
      <c r="AE43">
        <v>3210.5</v>
      </c>
      <c r="AF43">
        <v>0</v>
      </c>
      <c r="AG43">
        <v>0</v>
      </c>
      <c r="AH43">
        <v>0</v>
      </c>
      <c r="AI43">
        <v>6.78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5</v>
      </c>
      <c r="AT43">
        <v>1.2E-2</v>
      </c>
      <c r="AU43" t="s">
        <v>5</v>
      </c>
      <c r="AV43">
        <v>0</v>
      </c>
      <c r="AW43">
        <v>2</v>
      </c>
      <c r="AX43">
        <v>34765077</v>
      </c>
      <c r="AY43">
        <v>1</v>
      </c>
      <c r="AZ43">
        <v>0</v>
      </c>
      <c r="BA43">
        <v>53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Y43*Source!I33</f>
        <v>5.6487599999999999E-2</v>
      </c>
      <c r="CY43">
        <f t="shared" ref="CY43:CY48" si="4">AA43</f>
        <v>21767.19</v>
      </c>
      <c r="CZ43">
        <f t="shared" ref="CZ43:CZ48" si="5">AE43</f>
        <v>3210.5</v>
      </c>
      <c r="DA43">
        <f t="shared" ref="DA43:DA48" si="6">AI43</f>
        <v>6.78</v>
      </c>
      <c r="DB43">
        <v>0</v>
      </c>
      <c r="DH43">
        <f>Source!I33*SmtRes!Y43</f>
        <v>5.6487599999999999E-2</v>
      </c>
      <c r="DI43">
        <f t="shared" ref="DI43:DI48" si="7">AA43</f>
        <v>21767.19</v>
      </c>
      <c r="DJ43">
        <f>EtalonRes!Y53</f>
        <v>3210.5</v>
      </c>
      <c r="DK43">
        <f>Source!BC33</f>
        <v>6.78</v>
      </c>
      <c r="GQ43">
        <v>-1</v>
      </c>
      <c r="GR43">
        <v>-1</v>
      </c>
    </row>
    <row r="44" spans="1:200" x14ac:dyDescent="0.2">
      <c r="A44">
        <f>ROW(Source!A33)</f>
        <v>33</v>
      </c>
      <c r="B44">
        <v>34763707</v>
      </c>
      <c r="C44">
        <v>34763871</v>
      </c>
      <c r="D44">
        <v>31446826</v>
      </c>
      <c r="E44">
        <v>1</v>
      </c>
      <c r="F44">
        <v>1</v>
      </c>
      <c r="G44">
        <v>1</v>
      </c>
      <c r="H44">
        <v>3</v>
      </c>
      <c r="I44" t="s">
        <v>253</v>
      </c>
      <c r="J44" t="s">
        <v>254</v>
      </c>
      <c r="K44" t="s">
        <v>255</v>
      </c>
      <c r="L44">
        <v>1348</v>
      </c>
      <c r="N44">
        <v>1009</v>
      </c>
      <c r="O44" t="s">
        <v>44</v>
      </c>
      <c r="P44" t="s">
        <v>44</v>
      </c>
      <c r="Q44">
        <v>1000</v>
      </c>
      <c r="W44">
        <v>0</v>
      </c>
      <c r="X44">
        <v>-1704802034</v>
      </c>
      <c r="Y44">
        <v>3.0000000000000001E-3</v>
      </c>
      <c r="AA44">
        <v>111090.3</v>
      </c>
      <c r="AB44">
        <v>0</v>
      </c>
      <c r="AC44">
        <v>0</v>
      </c>
      <c r="AD44">
        <v>0</v>
      </c>
      <c r="AE44">
        <v>16385</v>
      </c>
      <c r="AF44">
        <v>0</v>
      </c>
      <c r="AG44">
        <v>0</v>
      </c>
      <c r="AH44">
        <v>0</v>
      </c>
      <c r="AI44">
        <v>6.78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5</v>
      </c>
      <c r="AT44">
        <v>3.0000000000000001E-3</v>
      </c>
      <c r="AU44" t="s">
        <v>5</v>
      </c>
      <c r="AV44">
        <v>0</v>
      </c>
      <c r="AW44">
        <v>2</v>
      </c>
      <c r="AX44">
        <v>34765078</v>
      </c>
      <c r="AY44">
        <v>1</v>
      </c>
      <c r="AZ44">
        <v>0</v>
      </c>
      <c r="BA44">
        <v>54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Y44*Source!I33</f>
        <v>1.41219E-2</v>
      </c>
      <c r="CY44">
        <f t="shared" si="4"/>
        <v>111090.3</v>
      </c>
      <c r="CZ44">
        <f t="shared" si="5"/>
        <v>16385</v>
      </c>
      <c r="DA44">
        <f t="shared" si="6"/>
        <v>6.78</v>
      </c>
      <c r="DB44">
        <v>0</v>
      </c>
      <c r="DH44">
        <f>Source!I33*SmtRes!Y44</f>
        <v>1.41219E-2</v>
      </c>
      <c r="DI44">
        <f t="shared" si="7"/>
        <v>111090.3</v>
      </c>
      <c r="DJ44">
        <f>EtalonRes!Y54</f>
        <v>16385</v>
      </c>
      <c r="DK44">
        <f>Source!BC33</f>
        <v>6.78</v>
      </c>
      <c r="GQ44">
        <v>-1</v>
      </c>
      <c r="GR44">
        <v>-1</v>
      </c>
    </row>
    <row r="45" spans="1:200" x14ac:dyDescent="0.2">
      <c r="A45">
        <f>ROW(Source!A33)</f>
        <v>33</v>
      </c>
      <c r="B45">
        <v>34763707</v>
      </c>
      <c r="C45">
        <v>34763871</v>
      </c>
      <c r="D45">
        <v>31447124</v>
      </c>
      <c r="E45">
        <v>1</v>
      </c>
      <c r="F45">
        <v>1</v>
      </c>
      <c r="G45">
        <v>1</v>
      </c>
      <c r="H45">
        <v>3</v>
      </c>
      <c r="I45" t="s">
        <v>256</v>
      </c>
      <c r="J45" t="s">
        <v>257</v>
      </c>
      <c r="K45" t="s">
        <v>258</v>
      </c>
      <c r="L45">
        <v>1348</v>
      </c>
      <c r="N45">
        <v>1009</v>
      </c>
      <c r="O45" t="s">
        <v>44</v>
      </c>
      <c r="P45" t="s">
        <v>44</v>
      </c>
      <c r="Q45">
        <v>1000</v>
      </c>
      <c r="W45">
        <v>0</v>
      </c>
      <c r="X45">
        <v>-526970962</v>
      </c>
      <c r="Y45">
        <v>1.2E-2</v>
      </c>
      <c r="AA45">
        <v>3976.27</v>
      </c>
      <c r="AB45">
        <v>0</v>
      </c>
      <c r="AC45">
        <v>0</v>
      </c>
      <c r="AD45">
        <v>0</v>
      </c>
      <c r="AE45">
        <v>586.47</v>
      </c>
      <c r="AF45">
        <v>0</v>
      </c>
      <c r="AG45">
        <v>0</v>
      </c>
      <c r="AH45">
        <v>0</v>
      </c>
      <c r="AI45">
        <v>6.78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5</v>
      </c>
      <c r="AT45">
        <v>1.2E-2</v>
      </c>
      <c r="AU45" t="s">
        <v>5</v>
      </c>
      <c r="AV45">
        <v>0</v>
      </c>
      <c r="AW45">
        <v>2</v>
      </c>
      <c r="AX45">
        <v>34765079</v>
      </c>
      <c r="AY45">
        <v>1</v>
      </c>
      <c r="AZ45">
        <v>0</v>
      </c>
      <c r="BA45">
        <v>55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Y45*Source!I33</f>
        <v>5.6487599999999999E-2</v>
      </c>
      <c r="CY45">
        <f t="shared" si="4"/>
        <v>3976.27</v>
      </c>
      <c r="CZ45">
        <f t="shared" si="5"/>
        <v>586.47</v>
      </c>
      <c r="DA45">
        <f t="shared" si="6"/>
        <v>6.78</v>
      </c>
      <c r="DB45">
        <v>0</v>
      </c>
      <c r="DH45">
        <f>Source!I33*SmtRes!Y45</f>
        <v>5.6487599999999999E-2</v>
      </c>
      <c r="DI45">
        <f t="shared" si="7"/>
        <v>3976.27</v>
      </c>
      <c r="DJ45">
        <f>EtalonRes!Y55</f>
        <v>586.47</v>
      </c>
      <c r="DK45">
        <f>Source!BC33</f>
        <v>6.78</v>
      </c>
      <c r="GQ45">
        <v>-1</v>
      </c>
      <c r="GR45">
        <v>-1</v>
      </c>
    </row>
    <row r="46" spans="1:200" x14ac:dyDescent="0.2">
      <c r="A46">
        <f>ROW(Source!A33)</f>
        <v>33</v>
      </c>
      <c r="B46">
        <v>34763707</v>
      </c>
      <c r="C46">
        <v>34763871</v>
      </c>
      <c r="D46">
        <v>31451016</v>
      </c>
      <c r="E46">
        <v>1</v>
      </c>
      <c r="F46">
        <v>1</v>
      </c>
      <c r="G46">
        <v>1</v>
      </c>
      <c r="H46">
        <v>3</v>
      </c>
      <c r="I46" t="s">
        <v>259</v>
      </c>
      <c r="J46" t="s">
        <v>260</v>
      </c>
      <c r="K46" t="s">
        <v>261</v>
      </c>
      <c r="L46">
        <v>1339</v>
      </c>
      <c r="N46">
        <v>1007</v>
      </c>
      <c r="O46" t="s">
        <v>242</v>
      </c>
      <c r="P46" t="s">
        <v>242</v>
      </c>
      <c r="Q46">
        <v>1</v>
      </c>
      <c r="W46">
        <v>0</v>
      </c>
      <c r="X46">
        <v>1795918813</v>
      </c>
      <c r="Y46">
        <v>4.7000000000000002E-3</v>
      </c>
      <c r="AA46">
        <v>505.65</v>
      </c>
      <c r="AB46">
        <v>0</v>
      </c>
      <c r="AC46">
        <v>0</v>
      </c>
      <c r="AD46">
        <v>0</v>
      </c>
      <c r="AE46">
        <v>74.58</v>
      </c>
      <c r="AF46">
        <v>0</v>
      </c>
      <c r="AG46">
        <v>0</v>
      </c>
      <c r="AH46">
        <v>0</v>
      </c>
      <c r="AI46">
        <v>6.78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5</v>
      </c>
      <c r="AT46">
        <v>4.7000000000000002E-3</v>
      </c>
      <c r="AU46" t="s">
        <v>5</v>
      </c>
      <c r="AV46">
        <v>0</v>
      </c>
      <c r="AW46">
        <v>2</v>
      </c>
      <c r="AX46">
        <v>34765080</v>
      </c>
      <c r="AY46">
        <v>1</v>
      </c>
      <c r="AZ46">
        <v>0</v>
      </c>
      <c r="BA46">
        <v>56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Y46*Source!I33</f>
        <v>2.2124310000000001E-2</v>
      </c>
      <c r="CY46">
        <f t="shared" si="4"/>
        <v>505.65</v>
      </c>
      <c r="CZ46">
        <f t="shared" si="5"/>
        <v>74.58</v>
      </c>
      <c r="DA46">
        <f t="shared" si="6"/>
        <v>6.78</v>
      </c>
      <c r="DB46">
        <v>0</v>
      </c>
      <c r="DH46">
        <f>Source!I33*SmtRes!Y46</f>
        <v>2.2124310000000001E-2</v>
      </c>
      <c r="DI46">
        <f t="shared" si="7"/>
        <v>505.65</v>
      </c>
      <c r="DJ46">
        <f>EtalonRes!Y56</f>
        <v>74.58</v>
      </c>
      <c r="DK46">
        <f>Source!BC33</f>
        <v>6.78</v>
      </c>
      <c r="GQ46">
        <v>-1</v>
      </c>
      <c r="GR46">
        <v>-1</v>
      </c>
    </row>
    <row r="47" spans="1:200" x14ac:dyDescent="0.2">
      <c r="A47">
        <f>ROW(Source!A33)</f>
        <v>33</v>
      </c>
      <c r="B47">
        <v>34763707</v>
      </c>
      <c r="C47">
        <v>34763871</v>
      </c>
      <c r="D47">
        <v>31481587</v>
      </c>
      <c r="E47">
        <v>1</v>
      </c>
      <c r="F47">
        <v>1</v>
      </c>
      <c r="G47">
        <v>1</v>
      </c>
      <c r="H47">
        <v>3</v>
      </c>
      <c r="I47" t="s">
        <v>262</v>
      </c>
      <c r="J47" t="s">
        <v>263</v>
      </c>
      <c r="K47" t="s">
        <v>264</v>
      </c>
      <c r="L47">
        <v>1346</v>
      </c>
      <c r="N47">
        <v>1009</v>
      </c>
      <c r="O47" t="s">
        <v>265</v>
      </c>
      <c r="P47" t="s">
        <v>265</v>
      </c>
      <c r="Q47">
        <v>1</v>
      </c>
      <c r="W47">
        <v>0</v>
      </c>
      <c r="X47">
        <v>-1684093315</v>
      </c>
      <c r="Y47">
        <v>1.4</v>
      </c>
      <c r="AA47">
        <v>54.85</v>
      </c>
      <c r="AB47">
        <v>0</v>
      </c>
      <c r="AC47">
        <v>0</v>
      </c>
      <c r="AD47">
        <v>0</v>
      </c>
      <c r="AE47">
        <v>8.09</v>
      </c>
      <c r="AF47">
        <v>0</v>
      </c>
      <c r="AG47">
        <v>0</v>
      </c>
      <c r="AH47">
        <v>0</v>
      </c>
      <c r="AI47">
        <v>6.78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5</v>
      </c>
      <c r="AT47">
        <v>1.4</v>
      </c>
      <c r="AU47" t="s">
        <v>5</v>
      </c>
      <c r="AV47">
        <v>0</v>
      </c>
      <c r="AW47">
        <v>2</v>
      </c>
      <c r="AX47">
        <v>34765082</v>
      </c>
      <c r="AY47">
        <v>1</v>
      </c>
      <c r="AZ47">
        <v>0</v>
      </c>
      <c r="BA47">
        <v>58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6.5902199999999995</v>
      </c>
      <c r="CY47">
        <f t="shared" si="4"/>
        <v>54.85</v>
      </c>
      <c r="CZ47">
        <f t="shared" si="5"/>
        <v>8.09</v>
      </c>
      <c r="DA47">
        <f t="shared" si="6"/>
        <v>6.78</v>
      </c>
      <c r="DB47">
        <v>0</v>
      </c>
      <c r="DH47">
        <f>Source!I33*SmtRes!Y47</f>
        <v>6.5902199999999995</v>
      </c>
      <c r="DI47">
        <f t="shared" si="7"/>
        <v>54.85</v>
      </c>
      <c r="DJ47">
        <f>EtalonRes!Y58</f>
        <v>8.09</v>
      </c>
      <c r="DK47">
        <f>Source!BC33</f>
        <v>6.78</v>
      </c>
      <c r="GQ47">
        <v>-1</v>
      </c>
      <c r="GR47">
        <v>-1</v>
      </c>
    </row>
    <row r="48" spans="1:200" x14ac:dyDescent="0.2">
      <c r="A48">
        <f>ROW(Source!A33)</f>
        <v>33</v>
      </c>
      <c r="B48">
        <v>34763707</v>
      </c>
      <c r="C48">
        <v>34763871</v>
      </c>
      <c r="D48">
        <v>0</v>
      </c>
      <c r="E48">
        <v>0</v>
      </c>
      <c r="F48">
        <v>1</v>
      </c>
      <c r="G48">
        <v>1</v>
      </c>
      <c r="H48">
        <v>3</v>
      </c>
      <c r="I48" t="s">
        <v>42</v>
      </c>
      <c r="J48" t="s">
        <v>5</v>
      </c>
      <c r="K48" t="s">
        <v>43</v>
      </c>
      <c r="L48">
        <v>1348</v>
      </c>
      <c r="N48">
        <v>1009</v>
      </c>
      <c r="O48" t="s">
        <v>44</v>
      </c>
      <c r="P48" t="s">
        <v>44</v>
      </c>
      <c r="Q48">
        <v>1000</v>
      </c>
      <c r="W48">
        <v>0</v>
      </c>
      <c r="X48">
        <v>1638798479</v>
      </c>
      <c r="Y48">
        <v>1.2E-2</v>
      </c>
      <c r="AA48">
        <v>130000</v>
      </c>
      <c r="AB48">
        <v>0</v>
      </c>
      <c r="AC48">
        <v>0</v>
      </c>
      <c r="AD48">
        <v>0</v>
      </c>
      <c r="AE48">
        <v>15978.36</v>
      </c>
      <c r="AF48">
        <v>0</v>
      </c>
      <c r="AG48">
        <v>0</v>
      </c>
      <c r="AH48">
        <v>0</v>
      </c>
      <c r="AI48">
        <v>6.78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5</v>
      </c>
      <c r="AT48">
        <v>1.2E-2</v>
      </c>
      <c r="AU48" t="s">
        <v>5</v>
      </c>
      <c r="AV48">
        <v>0</v>
      </c>
      <c r="AW48">
        <v>1</v>
      </c>
      <c r="AX48">
        <v>-1</v>
      </c>
      <c r="AY48">
        <v>0</v>
      </c>
      <c r="AZ48">
        <v>0</v>
      </c>
      <c r="BA48" t="s">
        <v>5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5.6487599999999999E-2</v>
      </c>
      <c r="CY48">
        <f t="shared" si="4"/>
        <v>130000</v>
      </c>
      <c r="CZ48">
        <f t="shared" si="5"/>
        <v>15978.36</v>
      </c>
      <c r="DA48">
        <f t="shared" si="6"/>
        <v>6.78</v>
      </c>
      <c r="DB48">
        <v>0</v>
      </c>
      <c r="DH48">
        <f>Source!I33*SmtRes!Y48</f>
        <v>5.6487599999999999E-2</v>
      </c>
      <c r="DI48">
        <f t="shared" si="7"/>
        <v>130000</v>
      </c>
      <c r="DK48">
        <f>Source!BC33</f>
        <v>6.78</v>
      </c>
      <c r="GP48">
        <v>1</v>
      </c>
      <c r="GQ48">
        <v>-1</v>
      </c>
      <c r="GR48">
        <v>-1</v>
      </c>
    </row>
    <row r="49" spans="1:200" x14ac:dyDescent="0.2">
      <c r="A49">
        <f>ROW(Source!A36)</f>
        <v>36</v>
      </c>
      <c r="B49">
        <v>34763685</v>
      </c>
      <c r="C49">
        <v>34763882</v>
      </c>
      <c r="D49">
        <v>31709613</v>
      </c>
      <c r="E49">
        <v>1</v>
      </c>
      <c r="F49">
        <v>1</v>
      </c>
      <c r="G49">
        <v>1</v>
      </c>
      <c r="H49">
        <v>1</v>
      </c>
      <c r="I49" t="s">
        <v>266</v>
      </c>
      <c r="J49" t="s">
        <v>5</v>
      </c>
      <c r="K49" t="s">
        <v>267</v>
      </c>
      <c r="L49">
        <v>1191</v>
      </c>
      <c r="N49">
        <v>1013</v>
      </c>
      <c r="O49" t="s">
        <v>224</v>
      </c>
      <c r="P49" t="s">
        <v>224</v>
      </c>
      <c r="Q49">
        <v>1</v>
      </c>
      <c r="W49">
        <v>0</v>
      </c>
      <c r="X49">
        <v>735429535</v>
      </c>
      <c r="Y49">
        <v>9.1</v>
      </c>
      <c r="AA49">
        <v>0</v>
      </c>
      <c r="AB49">
        <v>0</v>
      </c>
      <c r="AC49">
        <v>0</v>
      </c>
      <c r="AD49">
        <v>7.8</v>
      </c>
      <c r="AE49">
        <v>0</v>
      </c>
      <c r="AF49">
        <v>0</v>
      </c>
      <c r="AG49">
        <v>0</v>
      </c>
      <c r="AH49">
        <v>7.8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5</v>
      </c>
      <c r="AT49">
        <v>9.1</v>
      </c>
      <c r="AU49" t="s">
        <v>5</v>
      </c>
      <c r="AV49">
        <v>1</v>
      </c>
      <c r="AW49">
        <v>2</v>
      </c>
      <c r="AX49">
        <v>34765084</v>
      </c>
      <c r="AY49">
        <v>1</v>
      </c>
      <c r="AZ49">
        <v>0</v>
      </c>
      <c r="BA49">
        <v>59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2.5752999999999995</v>
      </c>
      <c r="CY49">
        <f>AD49</f>
        <v>7.8</v>
      </c>
      <c r="CZ49">
        <f>AH49</f>
        <v>7.8</v>
      </c>
      <c r="DA49">
        <f>AL49</f>
        <v>1</v>
      </c>
      <c r="DB49">
        <v>0</v>
      </c>
      <c r="GQ49">
        <v>-1</v>
      </c>
      <c r="GR49">
        <v>-1</v>
      </c>
    </row>
    <row r="50" spans="1:200" x14ac:dyDescent="0.2">
      <c r="A50">
        <f>ROW(Source!A36)</f>
        <v>36</v>
      </c>
      <c r="B50">
        <v>34763685</v>
      </c>
      <c r="C50">
        <v>34763882</v>
      </c>
      <c r="D50">
        <v>31526951</v>
      </c>
      <c r="E50">
        <v>1</v>
      </c>
      <c r="F50">
        <v>1</v>
      </c>
      <c r="G50">
        <v>1</v>
      </c>
      <c r="H50">
        <v>2</v>
      </c>
      <c r="I50" t="s">
        <v>236</v>
      </c>
      <c r="J50" t="s">
        <v>237</v>
      </c>
      <c r="K50" t="s">
        <v>238</v>
      </c>
      <c r="L50">
        <v>1368</v>
      </c>
      <c r="N50">
        <v>1011</v>
      </c>
      <c r="O50" t="s">
        <v>230</v>
      </c>
      <c r="P50" t="s">
        <v>230</v>
      </c>
      <c r="Q50">
        <v>1</v>
      </c>
      <c r="W50">
        <v>0</v>
      </c>
      <c r="X50">
        <v>1047452784</v>
      </c>
      <c r="Y50">
        <v>0.12</v>
      </c>
      <c r="AA50">
        <v>0</v>
      </c>
      <c r="AB50">
        <v>1.7</v>
      </c>
      <c r="AC50">
        <v>0</v>
      </c>
      <c r="AD50">
        <v>0</v>
      </c>
      <c r="AE50">
        <v>0</v>
      </c>
      <c r="AF50">
        <v>1.7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5</v>
      </c>
      <c r="AT50">
        <v>0.12</v>
      </c>
      <c r="AU50" t="s">
        <v>5</v>
      </c>
      <c r="AV50">
        <v>0</v>
      </c>
      <c r="AW50">
        <v>2</v>
      </c>
      <c r="AX50">
        <v>34765085</v>
      </c>
      <c r="AY50">
        <v>1</v>
      </c>
      <c r="AZ50">
        <v>0</v>
      </c>
      <c r="BA50">
        <v>60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3.3959999999999997E-2</v>
      </c>
      <c r="CY50">
        <f>AB50</f>
        <v>1.7</v>
      </c>
      <c r="CZ50">
        <f>AF50</f>
        <v>1.7</v>
      </c>
      <c r="DA50">
        <f>AJ50</f>
        <v>1</v>
      </c>
      <c r="DB50">
        <v>0</v>
      </c>
      <c r="GQ50">
        <v>-1</v>
      </c>
      <c r="GR50">
        <v>-1</v>
      </c>
    </row>
    <row r="51" spans="1:200" x14ac:dyDescent="0.2">
      <c r="A51">
        <f>ROW(Source!A37)</f>
        <v>37</v>
      </c>
      <c r="B51">
        <v>34763707</v>
      </c>
      <c r="C51">
        <v>34763882</v>
      </c>
      <c r="D51">
        <v>31709613</v>
      </c>
      <c r="E51">
        <v>1</v>
      </c>
      <c r="F51">
        <v>1</v>
      </c>
      <c r="G51">
        <v>1</v>
      </c>
      <c r="H51">
        <v>1</v>
      </c>
      <c r="I51" t="s">
        <v>266</v>
      </c>
      <c r="J51" t="s">
        <v>5</v>
      </c>
      <c r="K51" t="s">
        <v>267</v>
      </c>
      <c r="L51">
        <v>1191</v>
      </c>
      <c r="N51">
        <v>1013</v>
      </c>
      <c r="O51" t="s">
        <v>224</v>
      </c>
      <c r="P51" t="s">
        <v>224</v>
      </c>
      <c r="Q51">
        <v>1</v>
      </c>
      <c r="W51">
        <v>0</v>
      </c>
      <c r="X51">
        <v>735429535</v>
      </c>
      <c r="Y51">
        <v>9.1</v>
      </c>
      <c r="AA51">
        <v>0</v>
      </c>
      <c r="AB51">
        <v>0</v>
      </c>
      <c r="AC51">
        <v>0</v>
      </c>
      <c r="AD51">
        <v>52.88</v>
      </c>
      <c r="AE51">
        <v>0</v>
      </c>
      <c r="AF51">
        <v>0</v>
      </c>
      <c r="AG51">
        <v>0</v>
      </c>
      <c r="AH51">
        <v>7.8</v>
      </c>
      <c r="AI51">
        <v>1</v>
      </c>
      <c r="AJ51">
        <v>1</v>
      </c>
      <c r="AK51">
        <v>1</v>
      </c>
      <c r="AL51">
        <v>6.78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5</v>
      </c>
      <c r="AT51">
        <v>9.1</v>
      </c>
      <c r="AU51" t="s">
        <v>5</v>
      </c>
      <c r="AV51">
        <v>1</v>
      </c>
      <c r="AW51">
        <v>2</v>
      </c>
      <c r="AX51">
        <v>34765084</v>
      </c>
      <c r="AY51">
        <v>1</v>
      </c>
      <c r="AZ51">
        <v>0</v>
      </c>
      <c r="BA51">
        <v>62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2.5752999999999995</v>
      </c>
      <c r="CY51">
        <f>AD51</f>
        <v>52.88</v>
      </c>
      <c r="CZ51">
        <f>AH51</f>
        <v>7.8</v>
      </c>
      <c r="DA51">
        <f>AL51</f>
        <v>6.78</v>
      </c>
      <c r="DB51">
        <v>0</v>
      </c>
      <c r="GQ51">
        <v>-1</v>
      </c>
      <c r="GR51">
        <v>-1</v>
      </c>
    </row>
    <row r="52" spans="1:200" x14ac:dyDescent="0.2">
      <c r="A52">
        <f>ROW(Source!A37)</f>
        <v>37</v>
      </c>
      <c r="B52">
        <v>34763707</v>
      </c>
      <c r="C52">
        <v>34763882</v>
      </c>
      <c r="D52">
        <v>31526951</v>
      </c>
      <c r="E52">
        <v>1</v>
      </c>
      <c r="F52">
        <v>1</v>
      </c>
      <c r="G52">
        <v>1</v>
      </c>
      <c r="H52">
        <v>2</v>
      </c>
      <c r="I52" t="s">
        <v>236</v>
      </c>
      <c r="J52" t="s">
        <v>237</v>
      </c>
      <c r="K52" t="s">
        <v>238</v>
      </c>
      <c r="L52">
        <v>1368</v>
      </c>
      <c r="N52">
        <v>1011</v>
      </c>
      <c r="O52" t="s">
        <v>230</v>
      </c>
      <c r="P52" t="s">
        <v>230</v>
      </c>
      <c r="Q52">
        <v>1</v>
      </c>
      <c r="W52">
        <v>0</v>
      </c>
      <c r="X52">
        <v>1047452784</v>
      </c>
      <c r="Y52">
        <v>0.12</v>
      </c>
      <c r="AA52">
        <v>0</v>
      </c>
      <c r="AB52">
        <v>11.53</v>
      </c>
      <c r="AC52">
        <v>0</v>
      </c>
      <c r="AD52">
        <v>0</v>
      </c>
      <c r="AE52">
        <v>0</v>
      </c>
      <c r="AF52">
        <v>1.7</v>
      </c>
      <c r="AG52">
        <v>0</v>
      </c>
      <c r="AH52">
        <v>0</v>
      </c>
      <c r="AI52">
        <v>1</v>
      </c>
      <c r="AJ52">
        <v>6.78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5</v>
      </c>
      <c r="AT52">
        <v>0.12</v>
      </c>
      <c r="AU52" t="s">
        <v>5</v>
      </c>
      <c r="AV52">
        <v>0</v>
      </c>
      <c r="AW52">
        <v>2</v>
      </c>
      <c r="AX52">
        <v>34765085</v>
      </c>
      <c r="AY52">
        <v>1</v>
      </c>
      <c r="AZ52">
        <v>0</v>
      </c>
      <c r="BA52">
        <v>63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3.3959999999999997E-2</v>
      </c>
      <c r="CY52">
        <f>AB52</f>
        <v>11.53</v>
      </c>
      <c r="CZ52">
        <f>AF52</f>
        <v>1.7</v>
      </c>
      <c r="DA52">
        <f>AJ52</f>
        <v>6.78</v>
      </c>
      <c r="DB52">
        <v>0</v>
      </c>
      <c r="GQ52">
        <v>-1</v>
      </c>
      <c r="GR52">
        <v>-1</v>
      </c>
    </row>
    <row r="53" spans="1:200" x14ac:dyDescent="0.2">
      <c r="A53">
        <f>ROW(Source!A38)</f>
        <v>38</v>
      </c>
      <c r="B53">
        <v>34763685</v>
      </c>
      <c r="C53">
        <v>34763887</v>
      </c>
      <c r="D53">
        <v>31709863</v>
      </c>
      <c r="E53">
        <v>1</v>
      </c>
      <c r="F53">
        <v>1</v>
      </c>
      <c r="G53">
        <v>1</v>
      </c>
      <c r="H53">
        <v>1</v>
      </c>
      <c r="I53" t="s">
        <v>248</v>
      </c>
      <c r="J53" t="s">
        <v>5</v>
      </c>
      <c r="K53" t="s">
        <v>249</v>
      </c>
      <c r="L53">
        <v>1191</v>
      </c>
      <c r="N53">
        <v>1013</v>
      </c>
      <c r="O53" t="s">
        <v>224</v>
      </c>
      <c r="P53" t="s">
        <v>224</v>
      </c>
      <c r="Q53">
        <v>1</v>
      </c>
      <c r="W53">
        <v>0</v>
      </c>
      <c r="X53">
        <v>-400197608</v>
      </c>
      <c r="Y53">
        <v>112.75</v>
      </c>
      <c r="AA53">
        <v>0</v>
      </c>
      <c r="AB53">
        <v>0</v>
      </c>
      <c r="AC53">
        <v>0</v>
      </c>
      <c r="AD53">
        <v>8.5299999999999994</v>
      </c>
      <c r="AE53">
        <v>0</v>
      </c>
      <c r="AF53">
        <v>0</v>
      </c>
      <c r="AG53">
        <v>0</v>
      </c>
      <c r="AH53">
        <v>8.5299999999999994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5</v>
      </c>
      <c r="AT53">
        <v>112.75</v>
      </c>
      <c r="AU53" t="s">
        <v>5</v>
      </c>
      <c r="AV53">
        <v>1</v>
      </c>
      <c r="AW53">
        <v>2</v>
      </c>
      <c r="AX53">
        <v>34765088</v>
      </c>
      <c r="AY53">
        <v>1</v>
      </c>
      <c r="AZ53">
        <v>0</v>
      </c>
      <c r="BA53">
        <v>65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3.551625</v>
      </c>
      <c r="CY53">
        <f>AD53</f>
        <v>8.5299999999999994</v>
      </c>
      <c r="CZ53">
        <f>AH53</f>
        <v>8.5299999999999994</v>
      </c>
      <c r="DA53">
        <f>AL53</f>
        <v>1</v>
      </c>
      <c r="DB53">
        <v>0</v>
      </c>
      <c r="GQ53">
        <v>-1</v>
      </c>
      <c r="GR53">
        <v>-1</v>
      </c>
    </row>
    <row r="54" spans="1:200" x14ac:dyDescent="0.2">
      <c r="A54">
        <f>ROW(Source!A38)</f>
        <v>38</v>
      </c>
      <c r="B54">
        <v>34763685</v>
      </c>
      <c r="C54">
        <v>34763887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225</v>
      </c>
      <c r="J54" t="s">
        <v>5</v>
      </c>
      <c r="K54" t="s">
        <v>226</v>
      </c>
      <c r="L54">
        <v>1191</v>
      </c>
      <c r="N54">
        <v>1013</v>
      </c>
      <c r="O54" t="s">
        <v>224</v>
      </c>
      <c r="P54" t="s">
        <v>224</v>
      </c>
      <c r="Q54">
        <v>1</v>
      </c>
      <c r="W54">
        <v>0</v>
      </c>
      <c r="X54">
        <v>-1417349443</v>
      </c>
      <c r="Y54">
        <v>0.27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5</v>
      </c>
      <c r="AT54">
        <v>0.27</v>
      </c>
      <c r="AU54" t="s">
        <v>5</v>
      </c>
      <c r="AV54">
        <v>2</v>
      </c>
      <c r="AW54">
        <v>2</v>
      </c>
      <c r="AX54">
        <v>34765089</v>
      </c>
      <c r="AY54">
        <v>1</v>
      </c>
      <c r="AZ54">
        <v>0</v>
      </c>
      <c r="BA54">
        <v>66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8.5050000000000004E-3</v>
      </c>
      <c r="CY54">
        <f>AD54</f>
        <v>0</v>
      </c>
      <c r="CZ54">
        <f>AH54</f>
        <v>0</v>
      </c>
      <c r="DA54">
        <f>AL54</f>
        <v>1</v>
      </c>
      <c r="DB54">
        <v>0</v>
      </c>
      <c r="GQ54">
        <v>-1</v>
      </c>
      <c r="GR54">
        <v>-1</v>
      </c>
    </row>
    <row r="55" spans="1:200" x14ac:dyDescent="0.2">
      <c r="A55">
        <f>ROW(Source!A38)</f>
        <v>38</v>
      </c>
      <c r="B55">
        <v>34763685</v>
      </c>
      <c r="C55">
        <v>34763887</v>
      </c>
      <c r="D55">
        <v>31526651</v>
      </c>
      <c r="E55">
        <v>1</v>
      </c>
      <c r="F55">
        <v>1</v>
      </c>
      <c r="G55">
        <v>1</v>
      </c>
      <c r="H55">
        <v>2</v>
      </c>
      <c r="I55" t="s">
        <v>268</v>
      </c>
      <c r="J55" t="s">
        <v>269</v>
      </c>
      <c r="K55" t="s">
        <v>270</v>
      </c>
      <c r="L55">
        <v>1368</v>
      </c>
      <c r="N55">
        <v>1011</v>
      </c>
      <c r="O55" t="s">
        <v>230</v>
      </c>
      <c r="P55" t="s">
        <v>230</v>
      </c>
      <c r="Q55">
        <v>1</v>
      </c>
      <c r="W55">
        <v>0</v>
      </c>
      <c r="X55">
        <v>-1460065968</v>
      </c>
      <c r="Y55">
        <v>0.2</v>
      </c>
      <c r="AA55">
        <v>0</v>
      </c>
      <c r="AB55">
        <v>86.4</v>
      </c>
      <c r="AC55">
        <v>13.5</v>
      </c>
      <c r="AD55">
        <v>0</v>
      </c>
      <c r="AE55">
        <v>0</v>
      </c>
      <c r="AF55">
        <v>86.4</v>
      </c>
      <c r="AG55">
        <v>13.5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5</v>
      </c>
      <c r="AT55">
        <v>0.2</v>
      </c>
      <c r="AU55" t="s">
        <v>5</v>
      </c>
      <c r="AV55">
        <v>0</v>
      </c>
      <c r="AW55">
        <v>2</v>
      </c>
      <c r="AX55">
        <v>34765090</v>
      </c>
      <c r="AY55">
        <v>1</v>
      </c>
      <c r="AZ55">
        <v>0</v>
      </c>
      <c r="BA55">
        <v>67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6.3E-3</v>
      </c>
      <c r="CY55">
        <f>AB55</f>
        <v>86.4</v>
      </c>
      <c r="CZ55">
        <f>AF55</f>
        <v>86.4</v>
      </c>
      <c r="DA55">
        <f>AJ55</f>
        <v>1</v>
      </c>
      <c r="DB55">
        <v>0</v>
      </c>
      <c r="GQ55">
        <v>-1</v>
      </c>
      <c r="GR55">
        <v>-1</v>
      </c>
    </row>
    <row r="56" spans="1:200" x14ac:dyDescent="0.2">
      <c r="A56">
        <f>ROW(Source!A38)</f>
        <v>38</v>
      </c>
      <c r="B56">
        <v>34763685</v>
      </c>
      <c r="C56">
        <v>34763887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227</v>
      </c>
      <c r="J56" t="s">
        <v>228</v>
      </c>
      <c r="K56" t="s">
        <v>229</v>
      </c>
      <c r="L56">
        <v>1368</v>
      </c>
      <c r="N56">
        <v>1011</v>
      </c>
      <c r="O56" t="s">
        <v>230</v>
      </c>
      <c r="P56" t="s">
        <v>230</v>
      </c>
      <c r="Q56">
        <v>1</v>
      </c>
      <c r="W56">
        <v>0</v>
      </c>
      <c r="X56">
        <v>1372534845</v>
      </c>
      <c r="Y56">
        <v>7.0000000000000007E-2</v>
      </c>
      <c r="AA56">
        <v>0</v>
      </c>
      <c r="AB56">
        <v>65.709999999999994</v>
      </c>
      <c r="AC56">
        <v>11.6</v>
      </c>
      <c r="AD56">
        <v>0</v>
      </c>
      <c r="AE56">
        <v>0</v>
      </c>
      <c r="AF56">
        <v>65.709999999999994</v>
      </c>
      <c r="AG56">
        <v>11.6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5</v>
      </c>
      <c r="AT56">
        <v>7.0000000000000007E-2</v>
      </c>
      <c r="AU56" t="s">
        <v>5</v>
      </c>
      <c r="AV56">
        <v>0</v>
      </c>
      <c r="AW56">
        <v>2</v>
      </c>
      <c r="AX56">
        <v>34765091</v>
      </c>
      <c r="AY56">
        <v>1</v>
      </c>
      <c r="AZ56">
        <v>0</v>
      </c>
      <c r="BA56">
        <v>68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Y56*Source!I38</f>
        <v>2.2050000000000004E-3</v>
      </c>
      <c r="CY56">
        <f>AB56</f>
        <v>65.709999999999994</v>
      </c>
      <c r="CZ56">
        <f>AF56</f>
        <v>65.709999999999994</v>
      </c>
      <c r="DA56">
        <f>AJ56</f>
        <v>1</v>
      </c>
      <c r="DB56">
        <v>0</v>
      </c>
      <c r="GQ56">
        <v>-1</v>
      </c>
      <c r="GR56">
        <v>-1</v>
      </c>
    </row>
    <row r="57" spans="1:200" x14ac:dyDescent="0.2">
      <c r="A57">
        <f>ROW(Source!A38)</f>
        <v>38</v>
      </c>
      <c r="B57">
        <v>34763685</v>
      </c>
      <c r="C57">
        <v>34763887</v>
      </c>
      <c r="D57">
        <v>31449168</v>
      </c>
      <c r="E57">
        <v>1</v>
      </c>
      <c r="F57">
        <v>1</v>
      </c>
      <c r="G57">
        <v>1</v>
      </c>
      <c r="H57">
        <v>3</v>
      </c>
      <c r="I57" t="s">
        <v>271</v>
      </c>
      <c r="J57" t="s">
        <v>272</v>
      </c>
      <c r="K57" t="s">
        <v>273</v>
      </c>
      <c r="L57">
        <v>1348</v>
      </c>
      <c r="N57">
        <v>1009</v>
      </c>
      <c r="O57" t="s">
        <v>44</v>
      </c>
      <c r="P57" t="s">
        <v>44</v>
      </c>
      <c r="Q57">
        <v>1000</v>
      </c>
      <c r="W57">
        <v>0</v>
      </c>
      <c r="X57">
        <v>-1818623805</v>
      </c>
      <c r="Y57">
        <v>4.0000000000000001E-3</v>
      </c>
      <c r="AA57">
        <v>8475</v>
      </c>
      <c r="AB57">
        <v>0</v>
      </c>
      <c r="AC57">
        <v>0</v>
      </c>
      <c r="AD57">
        <v>0</v>
      </c>
      <c r="AE57">
        <v>8475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5</v>
      </c>
      <c r="AT57">
        <v>4.0000000000000001E-3</v>
      </c>
      <c r="AU57" t="s">
        <v>5</v>
      </c>
      <c r="AV57">
        <v>0</v>
      </c>
      <c r="AW57">
        <v>2</v>
      </c>
      <c r="AX57">
        <v>34765092</v>
      </c>
      <c r="AY57">
        <v>1</v>
      </c>
      <c r="AZ57">
        <v>0</v>
      </c>
      <c r="BA57">
        <v>69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1.26E-4</v>
      </c>
      <c r="CY57">
        <f>AA57</f>
        <v>8475</v>
      </c>
      <c r="CZ57">
        <f>AE57</f>
        <v>8475</v>
      </c>
      <c r="DA57">
        <f>AI57</f>
        <v>1</v>
      </c>
      <c r="DB57">
        <v>0</v>
      </c>
      <c r="DH57">
        <f>Source!I38*SmtRes!Y57</f>
        <v>1.26E-4</v>
      </c>
      <c r="DI57">
        <f>AA57</f>
        <v>8475</v>
      </c>
      <c r="DJ57">
        <f>EtalonRes!Y69</f>
        <v>8475</v>
      </c>
      <c r="DK57">
        <f>Source!BC38</f>
        <v>1</v>
      </c>
      <c r="GQ57">
        <v>-1</v>
      </c>
      <c r="GR57">
        <v>-1</v>
      </c>
    </row>
    <row r="58" spans="1:200" x14ac:dyDescent="0.2">
      <c r="A58">
        <f>ROW(Source!A38)</f>
        <v>38</v>
      </c>
      <c r="B58">
        <v>34763685</v>
      </c>
      <c r="C58">
        <v>34763887</v>
      </c>
      <c r="D58">
        <v>31470237</v>
      </c>
      <c r="E58">
        <v>1</v>
      </c>
      <c r="F58">
        <v>1</v>
      </c>
      <c r="G58">
        <v>1</v>
      </c>
      <c r="H58">
        <v>3</v>
      </c>
      <c r="I58" t="s">
        <v>274</v>
      </c>
      <c r="J58" t="s">
        <v>275</v>
      </c>
      <c r="K58" t="s">
        <v>276</v>
      </c>
      <c r="L58">
        <v>1348</v>
      </c>
      <c r="N58">
        <v>1009</v>
      </c>
      <c r="O58" t="s">
        <v>44</v>
      </c>
      <c r="P58" t="s">
        <v>44</v>
      </c>
      <c r="Q58">
        <v>1000</v>
      </c>
      <c r="W58">
        <v>0</v>
      </c>
      <c r="X58">
        <v>-177380457</v>
      </c>
      <c r="Y58">
        <v>1.2E-2</v>
      </c>
      <c r="AA58">
        <v>8190</v>
      </c>
      <c r="AB58">
        <v>0</v>
      </c>
      <c r="AC58">
        <v>0</v>
      </c>
      <c r="AD58">
        <v>0</v>
      </c>
      <c r="AE58">
        <v>8190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5</v>
      </c>
      <c r="AT58">
        <v>1.2E-2</v>
      </c>
      <c r="AU58" t="s">
        <v>5</v>
      </c>
      <c r="AV58">
        <v>0</v>
      </c>
      <c r="AW58">
        <v>2</v>
      </c>
      <c r="AX58">
        <v>34765093</v>
      </c>
      <c r="AY58">
        <v>1</v>
      </c>
      <c r="AZ58">
        <v>0</v>
      </c>
      <c r="BA58">
        <v>70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3.7800000000000003E-4</v>
      </c>
      <c r="CY58">
        <f>AA58</f>
        <v>8190</v>
      </c>
      <c r="CZ58">
        <f>AE58</f>
        <v>8190</v>
      </c>
      <c r="DA58">
        <f>AI58</f>
        <v>1</v>
      </c>
      <c r="DB58">
        <v>0</v>
      </c>
      <c r="DH58">
        <f>Source!I38*SmtRes!Y58</f>
        <v>3.7800000000000003E-4</v>
      </c>
      <c r="DI58">
        <f>AA58</f>
        <v>8190</v>
      </c>
      <c r="DJ58">
        <f>EtalonRes!Y70</f>
        <v>8190</v>
      </c>
      <c r="DK58">
        <f>Source!BC38</f>
        <v>1</v>
      </c>
      <c r="GQ58">
        <v>-1</v>
      </c>
      <c r="GR58">
        <v>-1</v>
      </c>
    </row>
    <row r="59" spans="1:200" x14ac:dyDescent="0.2">
      <c r="A59">
        <f>ROW(Source!A38)</f>
        <v>38</v>
      </c>
      <c r="B59">
        <v>34763685</v>
      </c>
      <c r="C59">
        <v>34763887</v>
      </c>
      <c r="D59">
        <v>31470484</v>
      </c>
      <c r="E59">
        <v>1</v>
      </c>
      <c r="F59">
        <v>1</v>
      </c>
      <c r="G59">
        <v>1</v>
      </c>
      <c r="H59">
        <v>3</v>
      </c>
      <c r="I59" t="s">
        <v>277</v>
      </c>
      <c r="J59" t="s">
        <v>278</v>
      </c>
      <c r="K59" t="s">
        <v>279</v>
      </c>
      <c r="L59">
        <v>1348</v>
      </c>
      <c r="N59">
        <v>1009</v>
      </c>
      <c r="O59" t="s">
        <v>44</v>
      </c>
      <c r="P59" t="s">
        <v>44</v>
      </c>
      <c r="Q59">
        <v>1000</v>
      </c>
      <c r="W59">
        <v>0</v>
      </c>
      <c r="X59">
        <v>-272931147</v>
      </c>
      <c r="Y59">
        <v>0.78200000000000003</v>
      </c>
      <c r="AA59">
        <v>11200</v>
      </c>
      <c r="AB59">
        <v>0</v>
      </c>
      <c r="AC59">
        <v>0</v>
      </c>
      <c r="AD59">
        <v>0</v>
      </c>
      <c r="AE59">
        <v>11200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5</v>
      </c>
      <c r="AT59">
        <v>0.78200000000000003</v>
      </c>
      <c r="AU59" t="s">
        <v>5</v>
      </c>
      <c r="AV59">
        <v>0</v>
      </c>
      <c r="AW59">
        <v>2</v>
      </c>
      <c r="AX59">
        <v>34765094</v>
      </c>
      <c r="AY59">
        <v>1</v>
      </c>
      <c r="AZ59">
        <v>0</v>
      </c>
      <c r="BA59">
        <v>71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2.4633000000000002E-2</v>
      </c>
      <c r="CY59">
        <f>AA59</f>
        <v>11200</v>
      </c>
      <c r="CZ59">
        <f>AE59</f>
        <v>11200</v>
      </c>
      <c r="DA59">
        <f>AI59</f>
        <v>1</v>
      </c>
      <c r="DB59">
        <v>0</v>
      </c>
      <c r="DH59">
        <f>Source!I38*SmtRes!Y59</f>
        <v>2.4633000000000002E-2</v>
      </c>
      <c r="DI59">
        <f>AA59</f>
        <v>11200</v>
      </c>
      <c r="DJ59">
        <f>EtalonRes!Y71</f>
        <v>11200</v>
      </c>
      <c r="DK59">
        <f>Source!BC38</f>
        <v>1</v>
      </c>
      <c r="GQ59">
        <v>-1</v>
      </c>
      <c r="GR59">
        <v>-1</v>
      </c>
    </row>
    <row r="60" spans="1:200" x14ac:dyDescent="0.2">
      <c r="A60">
        <f>ROW(Source!A39)</f>
        <v>39</v>
      </c>
      <c r="B60">
        <v>34763707</v>
      </c>
      <c r="C60">
        <v>34763887</v>
      </c>
      <c r="D60">
        <v>31709863</v>
      </c>
      <c r="E60">
        <v>1</v>
      </c>
      <c r="F60">
        <v>1</v>
      </c>
      <c r="G60">
        <v>1</v>
      </c>
      <c r="H60">
        <v>1</v>
      </c>
      <c r="I60" t="s">
        <v>248</v>
      </c>
      <c r="J60" t="s">
        <v>5</v>
      </c>
      <c r="K60" t="s">
        <v>249</v>
      </c>
      <c r="L60">
        <v>1191</v>
      </c>
      <c r="N60">
        <v>1013</v>
      </c>
      <c r="O60" t="s">
        <v>224</v>
      </c>
      <c r="P60" t="s">
        <v>224</v>
      </c>
      <c r="Q60">
        <v>1</v>
      </c>
      <c r="W60">
        <v>0</v>
      </c>
      <c r="X60">
        <v>-400197608</v>
      </c>
      <c r="Y60">
        <v>112.75</v>
      </c>
      <c r="AA60">
        <v>0</v>
      </c>
      <c r="AB60">
        <v>0</v>
      </c>
      <c r="AC60">
        <v>0</v>
      </c>
      <c r="AD60">
        <v>57.83</v>
      </c>
      <c r="AE60">
        <v>0</v>
      </c>
      <c r="AF60">
        <v>0</v>
      </c>
      <c r="AG60">
        <v>0</v>
      </c>
      <c r="AH60">
        <v>8.5299999999999994</v>
      </c>
      <c r="AI60">
        <v>1</v>
      </c>
      <c r="AJ60">
        <v>1</v>
      </c>
      <c r="AK60">
        <v>1</v>
      </c>
      <c r="AL60">
        <v>6.78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5</v>
      </c>
      <c r="AT60">
        <v>112.75</v>
      </c>
      <c r="AU60" t="s">
        <v>5</v>
      </c>
      <c r="AV60">
        <v>1</v>
      </c>
      <c r="AW60">
        <v>2</v>
      </c>
      <c r="AX60">
        <v>34765088</v>
      </c>
      <c r="AY60">
        <v>1</v>
      </c>
      <c r="AZ60">
        <v>0</v>
      </c>
      <c r="BA60">
        <v>72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3.551625</v>
      </c>
      <c r="CY60">
        <f>AD60</f>
        <v>57.83</v>
      </c>
      <c r="CZ60">
        <f>AH60</f>
        <v>8.5299999999999994</v>
      </c>
      <c r="DA60">
        <f>AL60</f>
        <v>6.78</v>
      </c>
      <c r="DB60">
        <v>0</v>
      </c>
      <c r="GQ60">
        <v>-1</v>
      </c>
      <c r="GR60">
        <v>-1</v>
      </c>
    </row>
    <row r="61" spans="1:200" x14ac:dyDescent="0.2">
      <c r="A61">
        <f>ROW(Source!A39)</f>
        <v>39</v>
      </c>
      <c r="B61">
        <v>34763707</v>
      </c>
      <c r="C61">
        <v>34763887</v>
      </c>
      <c r="D61">
        <v>31709492</v>
      </c>
      <c r="E61">
        <v>1</v>
      </c>
      <c r="F61">
        <v>1</v>
      </c>
      <c r="G61">
        <v>1</v>
      </c>
      <c r="H61">
        <v>1</v>
      </c>
      <c r="I61" t="s">
        <v>225</v>
      </c>
      <c r="J61" t="s">
        <v>5</v>
      </c>
      <c r="K61" t="s">
        <v>226</v>
      </c>
      <c r="L61">
        <v>1191</v>
      </c>
      <c r="N61">
        <v>1013</v>
      </c>
      <c r="O61" t="s">
        <v>224</v>
      </c>
      <c r="P61" t="s">
        <v>224</v>
      </c>
      <c r="Q61">
        <v>1</v>
      </c>
      <c r="W61">
        <v>0</v>
      </c>
      <c r="X61">
        <v>-1417349443</v>
      </c>
      <c r="Y61">
        <v>0.27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6.78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5</v>
      </c>
      <c r="AT61">
        <v>0.27</v>
      </c>
      <c r="AU61" t="s">
        <v>5</v>
      </c>
      <c r="AV61">
        <v>2</v>
      </c>
      <c r="AW61">
        <v>2</v>
      </c>
      <c r="AX61">
        <v>34765089</v>
      </c>
      <c r="AY61">
        <v>1</v>
      </c>
      <c r="AZ61">
        <v>0</v>
      </c>
      <c r="BA61">
        <v>73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8.5050000000000004E-3</v>
      </c>
      <c r="CY61">
        <f>AD61</f>
        <v>0</v>
      </c>
      <c r="CZ61">
        <f>AH61</f>
        <v>0</v>
      </c>
      <c r="DA61">
        <f>AL61</f>
        <v>1</v>
      </c>
      <c r="DB61">
        <v>0</v>
      </c>
      <c r="GQ61">
        <v>-1</v>
      </c>
      <c r="GR61">
        <v>-1</v>
      </c>
    </row>
    <row r="62" spans="1:200" x14ac:dyDescent="0.2">
      <c r="A62">
        <f>ROW(Source!A39)</f>
        <v>39</v>
      </c>
      <c r="B62">
        <v>34763707</v>
      </c>
      <c r="C62">
        <v>34763887</v>
      </c>
      <c r="D62">
        <v>31526651</v>
      </c>
      <c r="E62">
        <v>1</v>
      </c>
      <c r="F62">
        <v>1</v>
      </c>
      <c r="G62">
        <v>1</v>
      </c>
      <c r="H62">
        <v>2</v>
      </c>
      <c r="I62" t="s">
        <v>268</v>
      </c>
      <c r="J62" t="s">
        <v>269</v>
      </c>
      <c r="K62" t="s">
        <v>270</v>
      </c>
      <c r="L62">
        <v>1368</v>
      </c>
      <c r="N62">
        <v>1011</v>
      </c>
      <c r="O62" t="s">
        <v>230</v>
      </c>
      <c r="P62" t="s">
        <v>230</v>
      </c>
      <c r="Q62">
        <v>1</v>
      </c>
      <c r="W62">
        <v>0</v>
      </c>
      <c r="X62">
        <v>-1460065968</v>
      </c>
      <c r="Y62">
        <v>0.2</v>
      </c>
      <c r="AA62">
        <v>0</v>
      </c>
      <c r="AB62">
        <v>585.79</v>
      </c>
      <c r="AC62">
        <v>13.5</v>
      </c>
      <c r="AD62">
        <v>0</v>
      </c>
      <c r="AE62">
        <v>0</v>
      </c>
      <c r="AF62">
        <v>86.4</v>
      </c>
      <c r="AG62">
        <v>13.5</v>
      </c>
      <c r="AH62">
        <v>0</v>
      </c>
      <c r="AI62">
        <v>1</v>
      </c>
      <c r="AJ62">
        <v>6.78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5</v>
      </c>
      <c r="AT62">
        <v>0.2</v>
      </c>
      <c r="AU62" t="s">
        <v>5</v>
      </c>
      <c r="AV62">
        <v>0</v>
      </c>
      <c r="AW62">
        <v>2</v>
      </c>
      <c r="AX62">
        <v>34765090</v>
      </c>
      <c r="AY62">
        <v>1</v>
      </c>
      <c r="AZ62">
        <v>0</v>
      </c>
      <c r="BA62">
        <v>74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6.3E-3</v>
      </c>
      <c r="CY62">
        <f>AB62</f>
        <v>585.79</v>
      </c>
      <c r="CZ62">
        <f>AF62</f>
        <v>86.4</v>
      </c>
      <c r="DA62">
        <f>AJ62</f>
        <v>6.78</v>
      </c>
      <c r="DB62">
        <v>0</v>
      </c>
      <c r="GQ62">
        <v>-1</v>
      </c>
      <c r="GR62">
        <v>-1</v>
      </c>
    </row>
    <row r="63" spans="1:200" x14ac:dyDescent="0.2">
      <c r="A63">
        <f>ROW(Source!A39)</f>
        <v>39</v>
      </c>
      <c r="B63">
        <v>34763707</v>
      </c>
      <c r="C63">
        <v>34763887</v>
      </c>
      <c r="D63">
        <v>31528142</v>
      </c>
      <c r="E63">
        <v>1</v>
      </c>
      <c r="F63">
        <v>1</v>
      </c>
      <c r="G63">
        <v>1</v>
      </c>
      <c r="H63">
        <v>2</v>
      </c>
      <c r="I63" t="s">
        <v>227</v>
      </c>
      <c r="J63" t="s">
        <v>228</v>
      </c>
      <c r="K63" t="s">
        <v>229</v>
      </c>
      <c r="L63">
        <v>1368</v>
      </c>
      <c r="N63">
        <v>1011</v>
      </c>
      <c r="O63" t="s">
        <v>230</v>
      </c>
      <c r="P63" t="s">
        <v>230</v>
      </c>
      <c r="Q63">
        <v>1</v>
      </c>
      <c r="W63">
        <v>0</v>
      </c>
      <c r="X63">
        <v>1372534845</v>
      </c>
      <c r="Y63">
        <v>7.0000000000000007E-2</v>
      </c>
      <c r="AA63">
        <v>0</v>
      </c>
      <c r="AB63">
        <v>445.51</v>
      </c>
      <c r="AC63">
        <v>11.6</v>
      </c>
      <c r="AD63">
        <v>0</v>
      </c>
      <c r="AE63">
        <v>0</v>
      </c>
      <c r="AF63">
        <v>65.709999999999994</v>
      </c>
      <c r="AG63">
        <v>11.6</v>
      </c>
      <c r="AH63">
        <v>0</v>
      </c>
      <c r="AI63">
        <v>1</v>
      </c>
      <c r="AJ63">
        <v>6.78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5</v>
      </c>
      <c r="AT63">
        <v>7.0000000000000007E-2</v>
      </c>
      <c r="AU63" t="s">
        <v>5</v>
      </c>
      <c r="AV63">
        <v>0</v>
      </c>
      <c r="AW63">
        <v>2</v>
      </c>
      <c r="AX63">
        <v>34765091</v>
      </c>
      <c r="AY63">
        <v>1</v>
      </c>
      <c r="AZ63">
        <v>0</v>
      </c>
      <c r="BA63">
        <v>75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Y63*Source!I39</f>
        <v>2.2050000000000004E-3</v>
      </c>
      <c r="CY63">
        <f>AB63</f>
        <v>445.51</v>
      </c>
      <c r="CZ63">
        <f>AF63</f>
        <v>65.709999999999994</v>
      </c>
      <c r="DA63">
        <f>AJ63</f>
        <v>6.78</v>
      </c>
      <c r="DB63">
        <v>0</v>
      </c>
      <c r="GQ63">
        <v>-1</v>
      </c>
      <c r="GR63">
        <v>-1</v>
      </c>
    </row>
    <row r="64" spans="1:200" x14ac:dyDescent="0.2">
      <c r="A64">
        <f>ROW(Source!A39)</f>
        <v>39</v>
      </c>
      <c r="B64">
        <v>34763707</v>
      </c>
      <c r="C64">
        <v>34763887</v>
      </c>
      <c r="D64">
        <v>31449168</v>
      </c>
      <c r="E64">
        <v>1</v>
      </c>
      <c r="F64">
        <v>1</v>
      </c>
      <c r="G64">
        <v>1</v>
      </c>
      <c r="H64">
        <v>3</v>
      </c>
      <c r="I64" t="s">
        <v>271</v>
      </c>
      <c r="J64" t="s">
        <v>272</v>
      </c>
      <c r="K64" t="s">
        <v>273</v>
      </c>
      <c r="L64">
        <v>1348</v>
      </c>
      <c r="N64">
        <v>1009</v>
      </c>
      <c r="O64" t="s">
        <v>44</v>
      </c>
      <c r="P64" t="s">
        <v>44</v>
      </c>
      <c r="Q64">
        <v>1000</v>
      </c>
      <c r="W64">
        <v>0</v>
      </c>
      <c r="X64">
        <v>-1818623805</v>
      </c>
      <c r="Y64">
        <v>4.0000000000000001E-3</v>
      </c>
      <c r="AA64">
        <v>57460.5</v>
      </c>
      <c r="AB64">
        <v>0</v>
      </c>
      <c r="AC64">
        <v>0</v>
      </c>
      <c r="AD64">
        <v>0</v>
      </c>
      <c r="AE64">
        <v>8475</v>
      </c>
      <c r="AF64">
        <v>0</v>
      </c>
      <c r="AG64">
        <v>0</v>
      </c>
      <c r="AH64">
        <v>0</v>
      </c>
      <c r="AI64">
        <v>6.78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5</v>
      </c>
      <c r="AT64">
        <v>4.0000000000000001E-3</v>
      </c>
      <c r="AU64" t="s">
        <v>5</v>
      </c>
      <c r="AV64">
        <v>0</v>
      </c>
      <c r="AW64">
        <v>2</v>
      </c>
      <c r="AX64">
        <v>34765092</v>
      </c>
      <c r="AY64">
        <v>1</v>
      </c>
      <c r="AZ64">
        <v>0</v>
      </c>
      <c r="BA64">
        <v>76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Y64*Source!I39</f>
        <v>1.26E-4</v>
      </c>
      <c r="CY64">
        <f>AA64</f>
        <v>57460.5</v>
      </c>
      <c r="CZ64">
        <f>AE64</f>
        <v>8475</v>
      </c>
      <c r="DA64">
        <f>AI64</f>
        <v>6.78</v>
      </c>
      <c r="DB64">
        <v>0</v>
      </c>
      <c r="DH64">
        <f>Source!I39*SmtRes!Y64</f>
        <v>1.26E-4</v>
      </c>
      <c r="DI64">
        <f>AA64</f>
        <v>57460.5</v>
      </c>
      <c r="DJ64">
        <f>EtalonRes!Y76</f>
        <v>8475</v>
      </c>
      <c r="DK64">
        <f>Source!BC39</f>
        <v>6.78</v>
      </c>
      <c r="GQ64">
        <v>-1</v>
      </c>
      <c r="GR64">
        <v>-1</v>
      </c>
    </row>
    <row r="65" spans="1:200" x14ac:dyDescent="0.2">
      <c r="A65">
        <f>ROW(Source!A39)</f>
        <v>39</v>
      </c>
      <c r="B65">
        <v>34763707</v>
      </c>
      <c r="C65">
        <v>34763887</v>
      </c>
      <c r="D65">
        <v>31470237</v>
      </c>
      <c r="E65">
        <v>1</v>
      </c>
      <c r="F65">
        <v>1</v>
      </c>
      <c r="G65">
        <v>1</v>
      </c>
      <c r="H65">
        <v>3</v>
      </c>
      <c r="I65" t="s">
        <v>274</v>
      </c>
      <c r="J65" t="s">
        <v>275</v>
      </c>
      <c r="K65" t="s">
        <v>276</v>
      </c>
      <c r="L65">
        <v>1348</v>
      </c>
      <c r="N65">
        <v>1009</v>
      </c>
      <c r="O65" t="s">
        <v>44</v>
      </c>
      <c r="P65" t="s">
        <v>44</v>
      </c>
      <c r="Q65">
        <v>1000</v>
      </c>
      <c r="W65">
        <v>0</v>
      </c>
      <c r="X65">
        <v>-177380457</v>
      </c>
      <c r="Y65">
        <v>1.2E-2</v>
      </c>
      <c r="AA65">
        <v>55528.2</v>
      </c>
      <c r="AB65">
        <v>0</v>
      </c>
      <c r="AC65">
        <v>0</v>
      </c>
      <c r="AD65">
        <v>0</v>
      </c>
      <c r="AE65">
        <v>8190</v>
      </c>
      <c r="AF65">
        <v>0</v>
      </c>
      <c r="AG65">
        <v>0</v>
      </c>
      <c r="AH65">
        <v>0</v>
      </c>
      <c r="AI65">
        <v>6.78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5</v>
      </c>
      <c r="AT65">
        <v>1.2E-2</v>
      </c>
      <c r="AU65" t="s">
        <v>5</v>
      </c>
      <c r="AV65">
        <v>0</v>
      </c>
      <c r="AW65">
        <v>2</v>
      </c>
      <c r="AX65">
        <v>34765093</v>
      </c>
      <c r="AY65">
        <v>1</v>
      </c>
      <c r="AZ65">
        <v>0</v>
      </c>
      <c r="BA65">
        <v>77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Y65*Source!I39</f>
        <v>3.7800000000000003E-4</v>
      </c>
      <c r="CY65">
        <f>AA65</f>
        <v>55528.2</v>
      </c>
      <c r="CZ65">
        <f>AE65</f>
        <v>8190</v>
      </c>
      <c r="DA65">
        <f>AI65</f>
        <v>6.78</v>
      </c>
      <c r="DB65">
        <v>0</v>
      </c>
      <c r="DH65">
        <f>Source!I39*SmtRes!Y65</f>
        <v>3.7800000000000003E-4</v>
      </c>
      <c r="DI65">
        <f>AA65</f>
        <v>55528.2</v>
      </c>
      <c r="DJ65">
        <f>EtalonRes!Y77</f>
        <v>8190</v>
      </c>
      <c r="DK65">
        <f>Source!BC39</f>
        <v>6.78</v>
      </c>
      <c r="GQ65">
        <v>-1</v>
      </c>
      <c r="GR65">
        <v>-1</v>
      </c>
    </row>
    <row r="66" spans="1:200" x14ac:dyDescent="0.2">
      <c r="A66">
        <f>ROW(Source!A39)</f>
        <v>39</v>
      </c>
      <c r="B66">
        <v>34763707</v>
      </c>
      <c r="C66">
        <v>34763887</v>
      </c>
      <c r="D66">
        <v>31470484</v>
      </c>
      <c r="E66">
        <v>1</v>
      </c>
      <c r="F66">
        <v>1</v>
      </c>
      <c r="G66">
        <v>1</v>
      </c>
      <c r="H66">
        <v>3</v>
      </c>
      <c r="I66" t="s">
        <v>277</v>
      </c>
      <c r="J66" t="s">
        <v>278</v>
      </c>
      <c r="K66" t="s">
        <v>279</v>
      </c>
      <c r="L66">
        <v>1348</v>
      </c>
      <c r="N66">
        <v>1009</v>
      </c>
      <c r="O66" t="s">
        <v>44</v>
      </c>
      <c r="P66" t="s">
        <v>44</v>
      </c>
      <c r="Q66">
        <v>1000</v>
      </c>
      <c r="W66">
        <v>0</v>
      </c>
      <c r="X66">
        <v>-272931147</v>
      </c>
      <c r="Y66">
        <v>0.78200000000000003</v>
      </c>
      <c r="AA66">
        <v>75936</v>
      </c>
      <c r="AB66">
        <v>0</v>
      </c>
      <c r="AC66">
        <v>0</v>
      </c>
      <c r="AD66">
        <v>0</v>
      </c>
      <c r="AE66">
        <v>11200</v>
      </c>
      <c r="AF66">
        <v>0</v>
      </c>
      <c r="AG66">
        <v>0</v>
      </c>
      <c r="AH66">
        <v>0</v>
      </c>
      <c r="AI66">
        <v>6.78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5</v>
      </c>
      <c r="AT66">
        <v>0.78200000000000003</v>
      </c>
      <c r="AU66" t="s">
        <v>5</v>
      </c>
      <c r="AV66">
        <v>0</v>
      </c>
      <c r="AW66">
        <v>2</v>
      </c>
      <c r="AX66">
        <v>34765094</v>
      </c>
      <c r="AY66">
        <v>1</v>
      </c>
      <c r="AZ66">
        <v>0</v>
      </c>
      <c r="BA66">
        <v>78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Y66*Source!I39</f>
        <v>2.4633000000000002E-2</v>
      </c>
      <c r="CY66">
        <f>AA66</f>
        <v>75936</v>
      </c>
      <c r="CZ66">
        <f>AE66</f>
        <v>11200</v>
      </c>
      <c r="DA66">
        <f>AI66</f>
        <v>6.78</v>
      </c>
      <c r="DB66">
        <v>0</v>
      </c>
      <c r="DH66">
        <f>Source!I39*SmtRes!Y66</f>
        <v>2.4633000000000002E-2</v>
      </c>
      <c r="DI66">
        <f>AA66</f>
        <v>75936</v>
      </c>
      <c r="DJ66">
        <f>EtalonRes!Y78</f>
        <v>11200</v>
      </c>
      <c r="DK66">
        <f>Source!BC39</f>
        <v>6.78</v>
      </c>
      <c r="GQ66">
        <v>-1</v>
      </c>
      <c r="GR66">
        <v>-1</v>
      </c>
    </row>
    <row r="67" spans="1:200" x14ac:dyDescent="0.2">
      <c r="A67">
        <f>ROW(Source!A40)</f>
        <v>40</v>
      </c>
      <c r="B67">
        <v>34763685</v>
      </c>
      <c r="C67">
        <v>34764167</v>
      </c>
      <c r="D67">
        <v>31709863</v>
      </c>
      <c r="E67">
        <v>1</v>
      </c>
      <c r="F67">
        <v>1</v>
      </c>
      <c r="G67">
        <v>1</v>
      </c>
      <c r="H67">
        <v>1</v>
      </c>
      <c r="I67" t="s">
        <v>248</v>
      </c>
      <c r="J67" t="s">
        <v>5</v>
      </c>
      <c r="K67" t="s">
        <v>249</v>
      </c>
      <c r="L67">
        <v>1191</v>
      </c>
      <c r="N67">
        <v>1013</v>
      </c>
      <c r="O67" t="s">
        <v>224</v>
      </c>
      <c r="P67" t="s">
        <v>224</v>
      </c>
      <c r="Q67">
        <v>1</v>
      </c>
      <c r="W67">
        <v>0</v>
      </c>
      <c r="X67">
        <v>-400197608</v>
      </c>
      <c r="Y67">
        <v>4.9000000000000004</v>
      </c>
      <c r="AA67">
        <v>0</v>
      </c>
      <c r="AB67">
        <v>0</v>
      </c>
      <c r="AC67">
        <v>0</v>
      </c>
      <c r="AD67">
        <v>8.5299999999999994</v>
      </c>
      <c r="AE67">
        <v>0</v>
      </c>
      <c r="AF67">
        <v>0</v>
      </c>
      <c r="AG67">
        <v>0</v>
      </c>
      <c r="AH67">
        <v>8.5299999999999994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5</v>
      </c>
      <c r="AT67">
        <v>4.9000000000000004</v>
      </c>
      <c r="AU67" t="s">
        <v>5</v>
      </c>
      <c r="AV67">
        <v>1</v>
      </c>
      <c r="AW67">
        <v>2</v>
      </c>
      <c r="AX67">
        <v>34765095</v>
      </c>
      <c r="AY67">
        <v>1</v>
      </c>
      <c r="AZ67">
        <v>0</v>
      </c>
      <c r="BA67">
        <v>79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Y67*Source!I40</f>
        <v>1.2323500000000001</v>
      </c>
      <c r="CY67">
        <f>AD67</f>
        <v>8.5299999999999994</v>
      </c>
      <c r="CZ67">
        <f>AH67</f>
        <v>8.5299999999999994</v>
      </c>
      <c r="DA67">
        <f>AL67</f>
        <v>1</v>
      </c>
      <c r="DB67">
        <v>0</v>
      </c>
      <c r="GQ67">
        <v>-1</v>
      </c>
      <c r="GR67">
        <v>-1</v>
      </c>
    </row>
    <row r="68" spans="1:200" x14ac:dyDescent="0.2">
      <c r="A68">
        <f>ROW(Source!A40)</f>
        <v>40</v>
      </c>
      <c r="B68">
        <v>34763685</v>
      </c>
      <c r="C68">
        <v>34764167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225</v>
      </c>
      <c r="J68" t="s">
        <v>5</v>
      </c>
      <c r="K68" t="s">
        <v>226</v>
      </c>
      <c r="L68">
        <v>1191</v>
      </c>
      <c r="N68">
        <v>1013</v>
      </c>
      <c r="O68" t="s">
        <v>224</v>
      </c>
      <c r="P68" t="s">
        <v>224</v>
      </c>
      <c r="Q68">
        <v>1</v>
      </c>
      <c r="W68">
        <v>0</v>
      </c>
      <c r="X68">
        <v>-1417349443</v>
      </c>
      <c r="Y68">
        <v>0.01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5</v>
      </c>
      <c r="AT68">
        <v>0.01</v>
      </c>
      <c r="AU68" t="s">
        <v>5</v>
      </c>
      <c r="AV68">
        <v>2</v>
      </c>
      <c r="AW68">
        <v>2</v>
      </c>
      <c r="AX68">
        <v>34765096</v>
      </c>
      <c r="AY68">
        <v>1</v>
      </c>
      <c r="AZ68">
        <v>0</v>
      </c>
      <c r="BA68">
        <v>80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Y68*Source!I40</f>
        <v>2.5149999999999999E-3</v>
      </c>
      <c r="CY68">
        <f>AD68</f>
        <v>0</v>
      </c>
      <c r="CZ68">
        <f>AH68</f>
        <v>0</v>
      </c>
      <c r="DA68">
        <f>AL68</f>
        <v>1</v>
      </c>
      <c r="DB68">
        <v>0</v>
      </c>
      <c r="GQ68">
        <v>-1</v>
      </c>
      <c r="GR68">
        <v>-1</v>
      </c>
    </row>
    <row r="69" spans="1:200" x14ac:dyDescent="0.2">
      <c r="A69">
        <f>ROW(Source!A40)</f>
        <v>40</v>
      </c>
      <c r="B69">
        <v>34763685</v>
      </c>
      <c r="C69">
        <v>34764167</v>
      </c>
      <c r="D69">
        <v>31528142</v>
      </c>
      <c r="E69">
        <v>1</v>
      </c>
      <c r="F69">
        <v>1</v>
      </c>
      <c r="G69">
        <v>1</v>
      </c>
      <c r="H69">
        <v>2</v>
      </c>
      <c r="I69" t="s">
        <v>227</v>
      </c>
      <c r="J69" t="s">
        <v>228</v>
      </c>
      <c r="K69" t="s">
        <v>229</v>
      </c>
      <c r="L69">
        <v>1368</v>
      </c>
      <c r="N69">
        <v>1011</v>
      </c>
      <c r="O69" t="s">
        <v>230</v>
      </c>
      <c r="P69" t="s">
        <v>230</v>
      </c>
      <c r="Q69">
        <v>1</v>
      </c>
      <c r="W69">
        <v>0</v>
      </c>
      <c r="X69">
        <v>1372534845</v>
      </c>
      <c r="Y69">
        <v>0.01</v>
      </c>
      <c r="AA69">
        <v>0</v>
      </c>
      <c r="AB69">
        <v>65.709999999999994</v>
      </c>
      <c r="AC69">
        <v>11.6</v>
      </c>
      <c r="AD69">
        <v>0</v>
      </c>
      <c r="AE69">
        <v>0</v>
      </c>
      <c r="AF69">
        <v>65.709999999999994</v>
      </c>
      <c r="AG69">
        <v>11.6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5</v>
      </c>
      <c r="AT69">
        <v>0.01</v>
      </c>
      <c r="AU69" t="s">
        <v>5</v>
      </c>
      <c r="AV69">
        <v>0</v>
      </c>
      <c r="AW69">
        <v>2</v>
      </c>
      <c r="AX69">
        <v>34765097</v>
      </c>
      <c r="AY69">
        <v>1</v>
      </c>
      <c r="AZ69">
        <v>0</v>
      </c>
      <c r="BA69">
        <v>81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Y69*Source!I40</f>
        <v>2.5149999999999999E-3</v>
      </c>
      <c r="CY69">
        <f>AB69</f>
        <v>65.709999999999994</v>
      </c>
      <c r="CZ69">
        <f>AF69</f>
        <v>65.709999999999994</v>
      </c>
      <c r="DA69">
        <f>AJ69</f>
        <v>1</v>
      </c>
      <c r="DB69">
        <v>0</v>
      </c>
      <c r="GQ69">
        <v>-1</v>
      </c>
      <c r="GR69">
        <v>-1</v>
      </c>
    </row>
    <row r="70" spans="1:200" x14ac:dyDescent="0.2">
      <c r="A70">
        <f>ROW(Source!A40)</f>
        <v>40</v>
      </c>
      <c r="B70">
        <v>34763685</v>
      </c>
      <c r="C70">
        <v>34764167</v>
      </c>
      <c r="D70">
        <v>31449168</v>
      </c>
      <c r="E70">
        <v>1</v>
      </c>
      <c r="F70">
        <v>1</v>
      </c>
      <c r="G70">
        <v>1</v>
      </c>
      <c r="H70">
        <v>3</v>
      </c>
      <c r="I70" t="s">
        <v>271</v>
      </c>
      <c r="J70" t="s">
        <v>272</v>
      </c>
      <c r="K70" t="s">
        <v>273</v>
      </c>
      <c r="L70">
        <v>1348</v>
      </c>
      <c r="N70">
        <v>1009</v>
      </c>
      <c r="O70" t="s">
        <v>44</v>
      </c>
      <c r="P70" t="s">
        <v>44</v>
      </c>
      <c r="Q70">
        <v>1000</v>
      </c>
      <c r="W70">
        <v>0</v>
      </c>
      <c r="X70">
        <v>-1818623805</v>
      </c>
      <c r="Y70">
        <v>1.4E-3</v>
      </c>
      <c r="AA70">
        <v>8475</v>
      </c>
      <c r="AB70">
        <v>0</v>
      </c>
      <c r="AC70">
        <v>0</v>
      </c>
      <c r="AD70">
        <v>0</v>
      </c>
      <c r="AE70">
        <v>8475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5</v>
      </c>
      <c r="AT70">
        <v>1.4E-3</v>
      </c>
      <c r="AU70" t="s">
        <v>5</v>
      </c>
      <c r="AV70">
        <v>0</v>
      </c>
      <c r="AW70">
        <v>2</v>
      </c>
      <c r="AX70">
        <v>34765098</v>
      </c>
      <c r="AY70">
        <v>1</v>
      </c>
      <c r="AZ70">
        <v>0</v>
      </c>
      <c r="BA70">
        <v>82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Y70*Source!I40</f>
        <v>3.5209999999999999E-4</v>
      </c>
      <c r="CY70">
        <f>AA70</f>
        <v>8475</v>
      </c>
      <c r="CZ70">
        <f>AE70</f>
        <v>8475</v>
      </c>
      <c r="DA70">
        <f>AI70</f>
        <v>1</v>
      </c>
      <c r="DB70">
        <v>0</v>
      </c>
      <c r="DH70">
        <f>Source!I40*SmtRes!Y70</f>
        <v>3.5209999999999999E-4</v>
      </c>
      <c r="DI70">
        <f>AA70</f>
        <v>8475</v>
      </c>
      <c r="DJ70">
        <f>EtalonRes!Y82</f>
        <v>8475</v>
      </c>
      <c r="DK70">
        <f>Source!BC40</f>
        <v>1</v>
      </c>
      <c r="GQ70">
        <v>-1</v>
      </c>
      <c r="GR70">
        <v>-1</v>
      </c>
    </row>
    <row r="71" spans="1:200" x14ac:dyDescent="0.2">
      <c r="A71">
        <f>ROW(Source!A40)</f>
        <v>40</v>
      </c>
      <c r="B71">
        <v>34763685</v>
      </c>
      <c r="C71">
        <v>34764167</v>
      </c>
      <c r="D71">
        <v>31470484</v>
      </c>
      <c r="E71">
        <v>1</v>
      </c>
      <c r="F71">
        <v>1</v>
      </c>
      <c r="G71">
        <v>1</v>
      </c>
      <c r="H71">
        <v>3</v>
      </c>
      <c r="I71" t="s">
        <v>277</v>
      </c>
      <c r="J71" t="s">
        <v>278</v>
      </c>
      <c r="K71" t="s">
        <v>279</v>
      </c>
      <c r="L71">
        <v>1348</v>
      </c>
      <c r="N71">
        <v>1009</v>
      </c>
      <c r="O71" t="s">
        <v>44</v>
      </c>
      <c r="P71" t="s">
        <v>44</v>
      </c>
      <c r="Q71">
        <v>1000</v>
      </c>
      <c r="W71">
        <v>0</v>
      </c>
      <c r="X71">
        <v>-272931147</v>
      </c>
      <c r="Y71">
        <v>3.1E-2</v>
      </c>
      <c r="AA71">
        <v>11200</v>
      </c>
      <c r="AB71">
        <v>0</v>
      </c>
      <c r="AC71">
        <v>0</v>
      </c>
      <c r="AD71">
        <v>0</v>
      </c>
      <c r="AE71">
        <v>11200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5</v>
      </c>
      <c r="AT71">
        <v>3.1E-2</v>
      </c>
      <c r="AU71" t="s">
        <v>5</v>
      </c>
      <c r="AV71">
        <v>0</v>
      </c>
      <c r="AW71">
        <v>2</v>
      </c>
      <c r="AX71">
        <v>34765099</v>
      </c>
      <c r="AY71">
        <v>1</v>
      </c>
      <c r="AZ71">
        <v>0</v>
      </c>
      <c r="BA71">
        <v>83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Y71*Source!I40</f>
        <v>7.7964999999999996E-3</v>
      </c>
      <c r="CY71">
        <f>AA71</f>
        <v>11200</v>
      </c>
      <c r="CZ71">
        <f>AE71</f>
        <v>11200</v>
      </c>
      <c r="DA71">
        <f>AI71</f>
        <v>1</v>
      </c>
      <c r="DB71">
        <v>0</v>
      </c>
      <c r="DH71">
        <f>Source!I40*SmtRes!Y71</f>
        <v>7.7964999999999996E-3</v>
      </c>
      <c r="DI71">
        <f>AA71</f>
        <v>11200</v>
      </c>
      <c r="DJ71">
        <f>EtalonRes!Y83</f>
        <v>11200</v>
      </c>
      <c r="DK71">
        <f>Source!BC40</f>
        <v>1</v>
      </c>
      <c r="GQ71">
        <v>-1</v>
      </c>
      <c r="GR71">
        <v>-1</v>
      </c>
    </row>
    <row r="72" spans="1:200" x14ac:dyDescent="0.2">
      <c r="A72">
        <f>ROW(Source!A41)</f>
        <v>41</v>
      </c>
      <c r="B72">
        <v>34763707</v>
      </c>
      <c r="C72">
        <v>34764167</v>
      </c>
      <c r="D72">
        <v>31709863</v>
      </c>
      <c r="E72">
        <v>1</v>
      </c>
      <c r="F72">
        <v>1</v>
      </c>
      <c r="G72">
        <v>1</v>
      </c>
      <c r="H72">
        <v>1</v>
      </c>
      <c r="I72" t="s">
        <v>248</v>
      </c>
      <c r="J72" t="s">
        <v>5</v>
      </c>
      <c r="K72" t="s">
        <v>249</v>
      </c>
      <c r="L72">
        <v>1191</v>
      </c>
      <c r="N72">
        <v>1013</v>
      </c>
      <c r="O72" t="s">
        <v>224</v>
      </c>
      <c r="P72" t="s">
        <v>224</v>
      </c>
      <c r="Q72">
        <v>1</v>
      </c>
      <c r="W72">
        <v>0</v>
      </c>
      <c r="X72">
        <v>-400197608</v>
      </c>
      <c r="Y72">
        <v>4.9000000000000004</v>
      </c>
      <c r="AA72">
        <v>0</v>
      </c>
      <c r="AB72">
        <v>0</v>
      </c>
      <c r="AC72">
        <v>0</v>
      </c>
      <c r="AD72">
        <v>57.83</v>
      </c>
      <c r="AE72">
        <v>0</v>
      </c>
      <c r="AF72">
        <v>0</v>
      </c>
      <c r="AG72">
        <v>0</v>
      </c>
      <c r="AH72">
        <v>8.5299999999999994</v>
      </c>
      <c r="AI72">
        <v>1</v>
      </c>
      <c r="AJ72">
        <v>1</v>
      </c>
      <c r="AK72">
        <v>1</v>
      </c>
      <c r="AL72">
        <v>6.78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5</v>
      </c>
      <c r="AT72">
        <v>4.9000000000000004</v>
      </c>
      <c r="AU72" t="s">
        <v>5</v>
      </c>
      <c r="AV72">
        <v>1</v>
      </c>
      <c r="AW72">
        <v>2</v>
      </c>
      <c r="AX72">
        <v>34765095</v>
      </c>
      <c r="AY72">
        <v>1</v>
      </c>
      <c r="AZ72">
        <v>0</v>
      </c>
      <c r="BA72">
        <v>84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Y72*Source!I41</f>
        <v>1.2323500000000001</v>
      </c>
      <c r="CY72">
        <f>AD72</f>
        <v>57.83</v>
      </c>
      <c r="CZ72">
        <f>AH72</f>
        <v>8.5299999999999994</v>
      </c>
      <c r="DA72">
        <f>AL72</f>
        <v>6.78</v>
      </c>
      <c r="DB72">
        <v>0</v>
      </c>
      <c r="GQ72">
        <v>-1</v>
      </c>
      <c r="GR72">
        <v>-1</v>
      </c>
    </row>
    <row r="73" spans="1:200" x14ac:dyDescent="0.2">
      <c r="A73">
        <f>ROW(Source!A41)</f>
        <v>41</v>
      </c>
      <c r="B73">
        <v>34763707</v>
      </c>
      <c r="C73">
        <v>34764167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225</v>
      </c>
      <c r="J73" t="s">
        <v>5</v>
      </c>
      <c r="K73" t="s">
        <v>226</v>
      </c>
      <c r="L73">
        <v>1191</v>
      </c>
      <c r="N73">
        <v>1013</v>
      </c>
      <c r="O73" t="s">
        <v>224</v>
      </c>
      <c r="P73" t="s">
        <v>224</v>
      </c>
      <c r="Q73">
        <v>1</v>
      </c>
      <c r="W73">
        <v>0</v>
      </c>
      <c r="X73">
        <v>-1417349443</v>
      </c>
      <c r="Y73">
        <v>0.01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6.78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5</v>
      </c>
      <c r="AT73">
        <v>0.01</v>
      </c>
      <c r="AU73" t="s">
        <v>5</v>
      </c>
      <c r="AV73">
        <v>2</v>
      </c>
      <c r="AW73">
        <v>2</v>
      </c>
      <c r="AX73">
        <v>34765096</v>
      </c>
      <c r="AY73">
        <v>1</v>
      </c>
      <c r="AZ73">
        <v>0</v>
      </c>
      <c r="BA73">
        <v>85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Y73*Source!I41</f>
        <v>2.5149999999999999E-3</v>
      </c>
      <c r="CY73">
        <f>AD73</f>
        <v>0</v>
      </c>
      <c r="CZ73">
        <f>AH73</f>
        <v>0</v>
      </c>
      <c r="DA73">
        <f>AL73</f>
        <v>1</v>
      </c>
      <c r="DB73">
        <v>0</v>
      </c>
      <c r="GQ73">
        <v>-1</v>
      </c>
      <c r="GR73">
        <v>-1</v>
      </c>
    </row>
    <row r="74" spans="1:200" x14ac:dyDescent="0.2">
      <c r="A74">
        <f>ROW(Source!A41)</f>
        <v>41</v>
      </c>
      <c r="B74">
        <v>34763707</v>
      </c>
      <c r="C74">
        <v>34764167</v>
      </c>
      <c r="D74">
        <v>31528142</v>
      </c>
      <c r="E74">
        <v>1</v>
      </c>
      <c r="F74">
        <v>1</v>
      </c>
      <c r="G74">
        <v>1</v>
      </c>
      <c r="H74">
        <v>2</v>
      </c>
      <c r="I74" t="s">
        <v>227</v>
      </c>
      <c r="J74" t="s">
        <v>228</v>
      </c>
      <c r="K74" t="s">
        <v>229</v>
      </c>
      <c r="L74">
        <v>1368</v>
      </c>
      <c r="N74">
        <v>1011</v>
      </c>
      <c r="O74" t="s">
        <v>230</v>
      </c>
      <c r="P74" t="s">
        <v>230</v>
      </c>
      <c r="Q74">
        <v>1</v>
      </c>
      <c r="W74">
        <v>0</v>
      </c>
      <c r="X74">
        <v>1372534845</v>
      </c>
      <c r="Y74">
        <v>0.01</v>
      </c>
      <c r="AA74">
        <v>0</v>
      </c>
      <c r="AB74">
        <v>445.51</v>
      </c>
      <c r="AC74">
        <v>11.6</v>
      </c>
      <c r="AD74">
        <v>0</v>
      </c>
      <c r="AE74">
        <v>0</v>
      </c>
      <c r="AF74">
        <v>65.709999999999994</v>
      </c>
      <c r="AG74">
        <v>11.6</v>
      </c>
      <c r="AH74">
        <v>0</v>
      </c>
      <c r="AI74">
        <v>1</v>
      </c>
      <c r="AJ74">
        <v>6.78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5</v>
      </c>
      <c r="AT74">
        <v>0.01</v>
      </c>
      <c r="AU74" t="s">
        <v>5</v>
      </c>
      <c r="AV74">
        <v>0</v>
      </c>
      <c r="AW74">
        <v>2</v>
      </c>
      <c r="AX74">
        <v>34765097</v>
      </c>
      <c r="AY74">
        <v>1</v>
      </c>
      <c r="AZ74">
        <v>0</v>
      </c>
      <c r="BA74">
        <v>86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Y74*Source!I41</f>
        <v>2.5149999999999999E-3</v>
      </c>
      <c r="CY74">
        <f>AB74</f>
        <v>445.51</v>
      </c>
      <c r="CZ74">
        <f>AF74</f>
        <v>65.709999999999994</v>
      </c>
      <c r="DA74">
        <f>AJ74</f>
        <v>6.78</v>
      </c>
      <c r="DB74">
        <v>0</v>
      </c>
      <c r="GQ74">
        <v>-1</v>
      </c>
      <c r="GR74">
        <v>-1</v>
      </c>
    </row>
    <row r="75" spans="1:200" x14ac:dyDescent="0.2">
      <c r="A75">
        <f>ROW(Source!A41)</f>
        <v>41</v>
      </c>
      <c r="B75">
        <v>34763707</v>
      </c>
      <c r="C75">
        <v>34764167</v>
      </c>
      <c r="D75">
        <v>31449168</v>
      </c>
      <c r="E75">
        <v>1</v>
      </c>
      <c r="F75">
        <v>1</v>
      </c>
      <c r="G75">
        <v>1</v>
      </c>
      <c r="H75">
        <v>3</v>
      </c>
      <c r="I75" t="s">
        <v>271</v>
      </c>
      <c r="J75" t="s">
        <v>272</v>
      </c>
      <c r="K75" t="s">
        <v>273</v>
      </c>
      <c r="L75">
        <v>1348</v>
      </c>
      <c r="N75">
        <v>1009</v>
      </c>
      <c r="O75" t="s">
        <v>44</v>
      </c>
      <c r="P75" t="s">
        <v>44</v>
      </c>
      <c r="Q75">
        <v>1000</v>
      </c>
      <c r="W75">
        <v>0</v>
      </c>
      <c r="X75">
        <v>-1818623805</v>
      </c>
      <c r="Y75">
        <v>1.4E-3</v>
      </c>
      <c r="AA75">
        <v>57460.5</v>
      </c>
      <c r="AB75">
        <v>0</v>
      </c>
      <c r="AC75">
        <v>0</v>
      </c>
      <c r="AD75">
        <v>0</v>
      </c>
      <c r="AE75">
        <v>8475</v>
      </c>
      <c r="AF75">
        <v>0</v>
      </c>
      <c r="AG75">
        <v>0</v>
      </c>
      <c r="AH75">
        <v>0</v>
      </c>
      <c r="AI75">
        <v>6.78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5</v>
      </c>
      <c r="AT75">
        <v>1.4E-3</v>
      </c>
      <c r="AU75" t="s">
        <v>5</v>
      </c>
      <c r="AV75">
        <v>0</v>
      </c>
      <c r="AW75">
        <v>2</v>
      </c>
      <c r="AX75">
        <v>34765098</v>
      </c>
      <c r="AY75">
        <v>1</v>
      </c>
      <c r="AZ75">
        <v>0</v>
      </c>
      <c r="BA75">
        <v>87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Y75*Source!I41</f>
        <v>3.5209999999999999E-4</v>
      </c>
      <c r="CY75">
        <f>AA75</f>
        <v>57460.5</v>
      </c>
      <c r="CZ75">
        <f>AE75</f>
        <v>8475</v>
      </c>
      <c r="DA75">
        <f>AI75</f>
        <v>6.78</v>
      </c>
      <c r="DB75">
        <v>0</v>
      </c>
      <c r="DH75">
        <f>Source!I41*SmtRes!Y75</f>
        <v>3.5209999999999999E-4</v>
      </c>
      <c r="DI75">
        <f>AA75</f>
        <v>57460.5</v>
      </c>
      <c r="DJ75">
        <f>EtalonRes!Y87</f>
        <v>8475</v>
      </c>
      <c r="DK75">
        <f>Source!BC41</f>
        <v>6.78</v>
      </c>
      <c r="GQ75">
        <v>-1</v>
      </c>
      <c r="GR75">
        <v>-1</v>
      </c>
    </row>
    <row r="76" spans="1:200" x14ac:dyDescent="0.2">
      <c r="A76">
        <f>ROW(Source!A41)</f>
        <v>41</v>
      </c>
      <c r="B76">
        <v>34763707</v>
      </c>
      <c r="C76">
        <v>34764167</v>
      </c>
      <c r="D76">
        <v>31470484</v>
      </c>
      <c r="E76">
        <v>1</v>
      </c>
      <c r="F76">
        <v>1</v>
      </c>
      <c r="G76">
        <v>1</v>
      </c>
      <c r="H76">
        <v>3</v>
      </c>
      <c r="I76" t="s">
        <v>277</v>
      </c>
      <c r="J76" t="s">
        <v>278</v>
      </c>
      <c r="K76" t="s">
        <v>279</v>
      </c>
      <c r="L76">
        <v>1348</v>
      </c>
      <c r="N76">
        <v>1009</v>
      </c>
      <c r="O76" t="s">
        <v>44</v>
      </c>
      <c r="P76" t="s">
        <v>44</v>
      </c>
      <c r="Q76">
        <v>1000</v>
      </c>
      <c r="W76">
        <v>0</v>
      </c>
      <c r="X76">
        <v>-272931147</v>
      </c>
      <c r="Y76">
        <v>3.1E-2</v>
      </c>
      <c r="AA76">
        <v>75936</v>
      </c>
      <c r="AB76">
        <v>0</v>
      </c>
      <c r="AC76">
        <v>0</v>
      </c>
      <c r="AD76">
        <v>0</v>
      </c>
      <c r="AE76">
        <v>11200</v>
      </c>
      <c r="AF76">
        <v>0</v>
      </c>
      <c r="AG76">
        <v>0</v>
      </c>
      <c r="AH76">
        <v>0</v>
      </c>
      <c r="AI76">
        <v>6.78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5</v>
      </c>
      <c r="AT76">
        <v>3.1E-2</v>
      </c>
      <c r="AU76" t="s">
        <v>5</v>
      </c>
      <c r="AV76">
        <v>0</v>
      </c>
      <c r="AW76">
        <v>2</v>
      </c>
      <c r="AX76">
        <v>34765099</v>
      </c>
      <c r="AY76">
        <v>1</v>
      </c>
      <c r="AZ76">
        <v>0</v>
      </c>
      <c r="BA76">
        <v>88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Y76*Source!I41</f>
        <v>7.7964999999999996E-3</v>
      </c>
      <c r="CY76">
        <f>AA76</f>
        <v>75936</v>
      </c>
      <c r="CZ76">
        <f>AE76</f>
        <v>11200</v>
      </c>
      <c r="DA76">
        <f>AI76</f>
        <v>6.78</v>
      </c>
      <c r="DB76">
        <v>0</v>
      </c>
      <c r="DH76">
        <f>Source!I41*SmtRes!Y76</f>
        <v>7.7964999999999996E-3</v>
      </c>
      <c r="DI76">
        <f>AA76</f>
        <v>75936</v>
      </c>
      <c r="DJ76">
        <f>EtalonRes!Y88</f>
        <v>11200</v>
      </c>
      <c r="DK76">
        <f>Source!BC41</f>
        <v>6.78</v>
      </c>
      <c r="GQ76">
        <v>-1</v>
      </c>
      <c r="GR76">
        <v>-1</v>
      </c>
    </row>
    <row r="77" spans="1:200" x14ac:dyDescent="0.2">
      <c r="A77">
        <f>ROW(Source!A42)</f>
        <v>42</v>
      </c>
      <c r="B77">
        <v>34763685</v>
      </c>
      <c r="C77">
        <v>34763895</v>
      </c>
      <c r="D77">
        <v>31709863</v>
      </c>
      <c r="E77">
        <v>1</v>
      </c>
      <c r="F77">
        <v>1</v>
      </c>
      <c r="G77">
        <v>1</v>
      </c>
      <c r="H77">
        <v>1</v>
      </c>
      <c r="I77" t="s">
        <v>248</v>
      </c>
      <c r="J77" t="s">
        <v>5</v>
      </c>
      <c r="K77" t="s">
        <v>249</v>
      </c>
      <c r="L77">
        <v>1191</v>
      </c>
      <c r="N77">
        <v>1013</v>
      </c>
      <c r="O77" t="s">
        <v>224</v>
      </c>
      <c r="P77" t="s">
        <v>224</v>
      </c>
      <c r="Q77">
        <v>1</v>
      </c>
      <c r="W77">
        <v>0</v>
      </c>
      <c r="X77">
        <v>-400197608</v>
      </c>
      <c r="Y77">
        <v>65.209999999999994</v>
      </c>
      <c r="AA77">
        <v>0</v>
      </c>
      <c r="AB77">
        <v>0</v>
      </c>
      <c r="AC77">
        <v>0</v>
      </c>
      <c r="AD77">
        <v>8.5299999999999994</v>
      </c>
      <c r="AE77">
        <v>0</v>
      </c>
      <c r="AF77">
        <v>0</v>
      </c>
      <c r="AG77">
        <v>0</v>
      </c>
      <c r="AH77">
        <v>8.5299999999999994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5</v>
      </c>
      <c r="AT77">
        <v>65.209999999999994</v>
      </c>
      <c r="AU77" t="s">
        <v>5</v>
      </c>
      <c r="AV77">
        <v>1</v>
      </c>
      <c r="AW77">
        <v>2</v>
      </c>
      <c r="AX77">
        <v>34765100</v>
      </c>
      <c r="AY77">
        <v>1</v>
      </c>
      <c r="AZ77">
        <v>0</v>
      </c>
      <c r="BA77">
        <v>89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Y77*Source!I42</f>
        <v>44.994899999999994</v>
      </c>
      <c r="CY77">
        <f>AD77</f>
        <v>8.5299999999999994</v>
      </c>
      <c r="CZ77">
        <f>AH77</f>
        <v>8.5299999999999994</v>
      </c>
      <c r="DA77">
        <f>AL77</f>
        <v>1</v>
      </c>
      <c r="DB77">
        <v>0</v>
      </c>
      <c r="GQ77">
        <v>-1</v>
      </c>
      <c r="GR77">
        <v>-1</v>
      </c>
    </row>
    <row r="78" spans="1:200" x14ac:dyDescent="0.2">
      <c r="A78">
        <f>ROW(Source!A42)</f>
        <v>42</v>
      </c>
      <c r="B78">
        <v>34763685</v>
      </c>
      <c r="C78">
        <v>34763895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225</v>
      </c>
      <c r="J78" t="s">
        <v>5</v>
      </c>
      <c r="K78" t="s">
        <v>226</v>
      </c>
      <c r="L78">
        <v>1191</v>
      </c>
      <c r="N78">
        <v>1013</v>
      </c>
      <c r="O78" t="s">
        <v>224</v>
      </c>
      <c r="P78" t="s">
        <v>224</v>
      </c>
      <c r="Q78">
        <v>1</v>
      </c>
      <c r="W78">
        <v>0</v>
      </c>
      <c r="X78">
        <v>-1417349443</v>
      </c>
      <c r="Y78">
        <v>0.08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5</v>
      </c>
      <c r="AT78">
        <v>0.08</v>
      </c>
      <c r="AU78" t="s">
        <v>5</v>
      </c>
      <c r="AV78">
        <v>2</v>
      </c>
      <c r="AW78">
        <v>2</v>
      </c>
      <c r="AX78">
        <v>34765101</v>
      </c>
      <c r="AY78">
        <v>1</v>
      </c>
      <c r="AZ78">
        <v>0</v>
      </c>
      <c r="BA78">
        <v>90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Y78*Source!I42</f>
        <v>5.5199999999999999E-2</v>
      </c>
      <c r="CY78">
        <f>AD78</f>
        <v>0</v>
      </c>
      <c r="CZ78">
        <f>AH78</f>
        <v>0</v>
      </c>
      <c r="DA78">
        <f>AL78</f>
        <v>1</v>
      </c>
      <c r="DB78">
        <v>0</v>
      </c>
      <c r="GQ78">
        <v>-1</v>
      </c>
      <c r="GR78">
        <v>-1</v>
      </c>
    </row>
    <row r="79" spans="1:200" x14ac:dyDescent="0.2">
      <c r="A79">
        <f>ROW(Source!A42)</f>
        <v>42</v>
      </c>
      <c r="B79">
        <v>34763685</v>
      </c>
      <c r="C79">
        <v>34763895</v>
      </c>
      <c r="D79">
        <v>31527047</v>
      </c>
      <c r="E79">
        <v>1</v>
      </c>
      <c r="F79">
        <v>1</v>
      </c>
      <c r="G79">
        <v>1</v>
      </c>
      <c r="H79">
        <v>2</v>
      </c>
      <c r="I79" t="s">
        <v>280</v>
      </c>
      <c r="J79" t="s">
        <v>281</v>
      </c>
      <c r="K79" t="s">
        <v>282</v>
      </c>
      <c r="L79">
        <v>1368</v>
      </c>
      <c r="N79">
        <v>1011</v>
      </c>
      <c r="O79" t="s">
        <v>230</v>
      </c>
      <c r="P79" t="s">
        <v>230</v>
      </c>
      <c r="Q79">
        <v>1</v>
      </c>
      <c r="W79">
        <v>0</v>
      </c>
      <c r="X79">
        <v>1188625873</v>
      </c>
      <c r="Y79">
        <v>0.05</v>
      </c>
      <c r="AA79">
        <v>0</v>
      </c>
      <c r="AB79">
        <v>31.26</v>
      </c>
      <c r="AC79">
        <v>13.5</v>
      </c>
      <c r="AD79">
        <v>0</v>
      </c>
      <c r="AE79">
        <v>0</v>
      </c>
      <c r="AF79">
        <v>31.26</v>
      </c>
      <c r="AG79">
        <v>13.5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5</v>
      </c>
      <c r="AT79">
        <v>0.05</v>
      </c>
      <c r="AU79" t="s">
        <v>5</v>
      </c>
      <c r="AV79">
        <v>0</v>
      </c>
      <c r="AW79">
        <v>2</v>
      </c>
      <c r="AX79">
        <v>34765102</v>
      </c>
      <c r="AY79">
        <v>1</v>
      </c>
      <c r="AZ79">
        <v>0</v>
      </c>
      <c r="BA79">
        <v>91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Y79*Source!I42</f>
        <v>3.4499999999999996E-2</v>
      </c>
      <c r="CY79">
        <f>AB79</f>
        <v>31.26</v>
      </c>
      <c r="CZ79">
        <f>AF79</f>
        <v>31.26</v>
      </c>
      <c r="DA79">
        <f>AJ79</f>
        <v>1</v>
      </c>
      <c r="DB79">
        <v>0</v>
      </c>
      <c r="GQ79">
        <v>-1</v>
      </c>
      <c r="GR79">
        <v>-1</v>
      </c>
    </row>
    <row r="80" spans="1:200" x14ac:dyDescent="0.2">
      <c r="A80">
        <f>ROW(Source!A42)</f>
        <v>42</v>
      </c>
      <c r="B80">
        <v>34763685</v>
      </c>
      <c r="C80">
        <v>34763895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227</v>
      </c>
      <c r="J80" t="s">
        <v>228</v>
      </c>
      <c r="K80" t="s">
        <v>229</v>
      </c>
      <c r="L80">
        <v>1368</v>
      </c>
      <c r="N80">
        <v>1011</v>
      </c>
      <c r="O80" t="s">
        <v>230</v>
      </c>
      <c r="P80" t="s">
        <v>230</v>
      </c>
      <c r="Q80">
        <v>1</v>
      </c>
      <c r="W80">
        <v>0</v>
      </c>
      <c r="X80">
        <v>1372534845</v>
      </c>
      <c r="Y80">
        <v>0.03</v>
      </c>
      <c r="AA80">
        <v>0</v>
      </c>
      <c r="AB80">
        <v>65.709999999999994</v>
      </c>
      <c r="AC80">
        <v>11.6</v>
      </c>
      <c r="AD80">
        <v>0</v>
      </c>
      <c r="AE80">
        <v>0</v>
      </c>
      <c r="AF80">
        <v>65.709999999999994</v>
      </c>
      <c r="AG80">
        <v>11.6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5</v>
      </c>
      <c r="AT80">
        <v>0.03</v>
      </c>
      <c r="AU80" t="s">
        <v>5</v>
      </c>
      <c r="AV80">
        <v>0</v>
      </c>
      <c r="AW80">
        <v>2</v>
      </c>
      <c r="AX80">
        <v>34765103</v>
      </c>
      <c r="AY80">
        <v>1</v>
      </c>
      <c r="AZ80">
        <v>0</v>
      </c>
      <c r="BA80">
        <v>92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Y80*Source!I42</f>
        <v>2.0699999999999996E-2</v>
      </c>
      <c r="CY80">
        <f>AB80</f>
        <v>65.709999999999994</v>
      </c>
      <c r="CZ80">
        <f>AF80</f>
        <v>65.709999999999994</v>
      </c>
      <c r="DA80">
        <f>AJ80</f>
        <v>1</v>
      </c>
      <c r="DB80">
        <v>0</v>
      </c>
      <c r="GQ80">
        <v>-1</v>
      </c>
      <c r="GR80">
        <v>-1</v>
      </c>
    </row>
    <row r="81" spans="1:200" x14ac:dyDescent="0.2">
      <c r="A81">
        <f>ROW(Source!A42)</f>
        <v>42</v>
      </c>
      <c r="B81">
        <v>34763685</v>
      </c>
      <c r="C81">
        <v>34763895</v>
      </c>
      <c r="D81">
        <v>31449148</v>
      </c>
      <c r="E81">
        <v>1</v>
      </c>
      <c r="F81">
        <v>1</v>
      </c>
      <c r="G81">
        <v>1</v>
      </c>
      <c r="H81">
        <v>3</v>
      </c>
      <c r="I81" t="s">
        <v>283</v>
      </c>
      <c r="J81" t="s">
        <v>284</v>
      </c>
      <c r="K81" t="s">
        <v>285</v>
      </c>
      <c r="L81">
        <v>1348</v>
      </c>
      <c r="N81">
        <v>1009</v>
      </c>
      <c r="O81" t="s">
        <v>44</v>
      </c>
      <c r="P81" t="s">
        <v>44</v>
      </c>
      <c r="Q81">
        <v>1000</v>
      </c>
      <c r="W81">
        <v>0</v>
      </c>
      <c r="X81">
        <v>1174701286</v>
      </c>
      <c r="Y81">
        <v>0.01</v>
      </c>
      <c r="AA81">
        <v>11978</v>
      </c>
      <c r="AB81">
        <v>0</v>
      </c>
      <c r="AC81">
        <v>0</v>
      </c>
      <c r="AD81">
        <v>0</v>
      </c>
      <c r="AE81">
        <v>11978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5</v>
      </c>
      <c r="AT81">
        <v>0.01</v>
      </c>
      <c r="AU81" t="s">
        <v>5</v>
      </c>
      <c r="AV81">
        <v>0</v>
      </c>
      <c r="AW81">
        <v>2</v>
      </c>
      <c r="AX81">
        <v>34765105</v>
      </c>
      <c r="AY81">
        <v>1</v>
      </c>
      <c r="AZ81">
        <v>0</v>
      </c>
      <c r="BA81">
        <v>94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Y81*Source!I42</f>
        <v>6.8999999999999999E-3</v>
      </c>
      <c r="CY81">
        <f>AA81</f>
        <v>11978</v>
      </c>
      <c r="CZ81">
        <f>AE81</f>
        <v>11978</v>
      </c>
      <c r="DA81">
        <f>AI81</f>
        <v>1</v>
      </c>
      <c r="DB81">
        <v>0</v>
      </c>
      <c r="DH81">
        <f>Source!I42*SmtRes!Y81</f>
        <v>6.8999999999999999E-3</v>
      </c>
      <c r="DI81">
        <f>AA81</f>
        <v>11978</v>
      </c>
      <c r="DJ81">
        <f>EtalonRes!Y94</f>
        <v>11978</v>
      </c>
      <c r="DK81">
        <f>Source!BC42</f>
        <v>1</v>
      </c>
      <c r="GQ81">
        <v>-1</v>
      </c>
      <c r="GR81">
        <v>-1</v>
      </c>
    </row>
    <row r="82" spans="1:200" x14ac:dyDescent="0.2">
      <c r="A82">
        <f>ROW(Source!A43)</f>
        <v>43</v>
      </c>
      <c r="B82">
        <v>34763707</v>
      </c>
      <c r="C82">
        <v>34763895</v>
      </c>
      <c r="D82">
        <v>31709863</v>
      </c>
      <c r="E82">
        <v>1</v>
      </c>
      <c r="F82">
        <v>1</v>
      </c>
      <c r="G82">
        <v>1</v>
      </c>
      <c r="H82">
        <v>1</v>
      </c>
      <c r="I82" t="s">
        <v>248</v>
      </c>
      <c r="J82" t="s">
        <v>5</v>
      </c>
      <c r="K82" t="s">
        <v>249</v>
      </c>
      <c r="L82">
        <v>1191</v>
      </c>
      <c r="N82">
        <v>1013</v>
      </c>
      <c r="O82" t="s">
        <v>224</v>
      </c>
      <c r="P82" t="s">
        <v>224</v>
      </c>
      <c r="Q82">
        <v>1</v>
      </c>
      <c r="W82">
        <v>0</v>
      </c>
      <c r="X82">
        <v>-400197608</v>
      </c>
      <c r="Y82">
        <v>65.209999999999994</v>
      </c>
      <c r="AA82">
        <v>0</v>
      </c>
      <c r="AB82">
        <v>0</v>
      </c>
      <c r="AC82">
        <v>0</v>
      </c>
      <c r="AD82">
        <v>57.83</v>
      </c>
      <c r="AE82">
        <v>0</v>
      </c>
      <c r="AF82">
        <v>0</v>
      </c>
      <c r="AG82">
        <v>0</v>
      </c>
      <c r="AH82">
        <v>8.5299999999999994</v>
      </c>
      <c r="AI82">
        <v>1</v>
      </c>
      <c r="AJ82">
        <v>1</v>
      </c>
      <c r="AK82">
        <v>1</v>
      </c>
      <c r="AL82">
        <v>6.78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5</v>
      </c>
      <c r="AT82">
        <v>65.209999999999994</v>
      </c>
      <c r="AU82" t="s">
        <v>5</v>
      </c>
      <c r="AV82">
        <v>1</v>
      </c>
      <c r="AW82">
        <v>2</v>
      </c>
      <c r="AX82">
        <v>34765100</v>
      </c>
      <c r="AY82">
        <v>1</v>
      </c>
      <c r="AZ82">
        <v>0</v>
      </c>
      <c r="BA82">
        <v>96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Y82*Source!I43</f>
        <v>44.994899999999994</v>
      </c>
      <c r="CY82">
        <f>AD82</f>
        <v>57.83</v>
      </c>
      <c r="CZ82">
        <f>AH82</f>
        <v>8.5299999999999994</v>
      </c>
      <c r="DA82">
        <f>AL82</f>
        <v>6.78</v>
      </c>
      <c r="DB82">
        <v>0</v>
      </c>
      <c r="GQ82">
        <v>-1</v>
      </c>
      <c r="GR82">
        <v>-1</v>
      </c>
    </row>
    <row r="83" spans="1:200" x14ac:dyDescent="0.2">
      <c r="A83">
        <f>ROW(Source!A43)</f>
        <v>43</v>
      </c>
      <c r="B83">
        <v>34763707</v>
      </c>
      <c r="C83">
        <v>34763895</v>
      </c>
      <c r="D83">
        <v>31709492</v>
      </c>
      <c r="E83">
        <v>1</v>
      </c>
      <c r="F83">
        <v>1</v>
      </c>
      <c r="G83">
        <v>1</v>
      </c>
      <c r="H83">
        <v>1</v>
      </c>
      <c r="I83" t="s">
        <v>225</v>
      </c>
      <c r="J83" t="s">
        <v>5</v>
      </c>
      <c r="K83" t="s">
        <v>226</v>
      </c>
      <c r="L83">
        <v>1191</v>
      </c>
      <c r="N83">
        <v>1013</v>
      </c>
      <c r="O83" t="s">
        <v>224</v>
      </c>
      <c r="P83" t="s">
        <v>224</v>
      </c>
      <c r="Q83">
        <v>1</v>
      </c>
      <c r="W83">
        <v>0</v>
      </c>
      <c r="X83">
        <v>-1417349443</v>
      </c>
      <c r="Y83">
        <v>0.08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6.78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5</v>
      </c>
      <c r="AT83">
        <v>0.08</v>
      </c>
      <c r="AU83" t="s">
        <v>5</v>
      </c>
      <c r="AV83">
        <v>2</v>
      </c>
      <c r="AW83">
        <v>2</v>
      </c>
      <c r="AX83">
        <v>34765101</v>
      </c>
      <c r="AY83">
        <v>1</v>
      </c>
      <c r="AZ83">
        <v>0</v>
      </c>
      <c r="BA83">
        <v>97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Y83*Source!I43</f>
        <v>5.5199999999999999E-2</v>
      </c>
      <c r="CY83">
        <f>AD83</f>
        <v>0</v>
      </c>
      <c r="CZ83">
        <f>AH83</f>
        <v>0</v>
      </c>
      <c r="DA83">
        <f>AL83</f>
        <v>1</v>
      </c>
      <c r="DB83">
        <v>0</v>
      </c>
      <c r="GQ83">
        <v>-1</v>
      </c>
      <c r="GR83">
        <v>-1</v>
      </c>
    </row>
    <row r="84" spans="1:200" x14ac:dyDescent="0.2">
      <c r="A84">
        <f>ROW(Source!A43)</f>
        <v>43</v>
      </c>
      <c r="B84">
        <v>34763707</v>
      </c>
      <c r="C84">
        <v>34763895</v>
      </c>
      <c r="D84">
        <v>31527047</v>
      </c>
      <c r="E84">
        <v>1</v>
      </c>
      <c r="F84">
        <v>1</v>
      </c>
      <c r="G84">
        <v>1</v>
      </c>
      <c r="H84">
        <v>2</v>
      </c>
      <c r="I84" t="s">
        <v>280</v>
      </c>
      <c r="J84" t="s">
        <v>281</v>
      </c>
      <c r="K84" t="s">
        <v>282</v>
      </c>
      <c r="L84">
        <v>1368</v>
      </c>
      <c r="N84">
        <v>1011</v>
      </c>
      <c r="O84" t="s">
        <v>230</v>
      </c>
      <c r="P84" t="s">
        <v>230</v>
      </c>
      <c r="Q84">
        <v>1</v>
      </c>
      <c r="W84">
        <v>0</v>
      </c>
      <c r="X84">
        <v>1188625873</v>
      </c>
      <c r="Y84">
        <v>0.05</v>
      </c>
      <c r="AA84">
        <v>0</v>
      </c>
      <c r="AB84">
        <v>211.94</v>
      </c>
      <c r="AC84">
        <v>13.5</v>
      </c>
      <c r="AD84">
        <v>0</v>
      </c>
      <c r="AE84">
        <v>0</v>
      </c>
      <c r="AF84">
        <v>31.26</v>
      </c>
      <c r="AG84">
        <v>13.5</v>
      </c>
      <c r="AH84">
        <v>0</v>
      </c>
      <c r="AI84">
        <v>1</v>
      </c>
      <c r="AJ84">
        <v>6.78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5</v>
      </c>
      <c r="AT84">
        <v>0.05</v>
      </c>
      <c r="AU84" t="s">
        <v>5</v>
      </c>
      <c r="AV84">
        <v>0</v>
      </c>
      <c r="AW84">
        <v>2</v>
      </c>
      <c r="AX84">
        <v>34765102</v>
      </c>
      <c r="AY84">
        <v>1</v>
      </c>
      <c r="AZ84">
        <v>0</v>
      </c>
      <c r="BA84">
        <v>98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Y84*Source!I43</f>
        <v>3.4499999999999996E-2</v>
      </c>
      <c r="CY84">
        <f>AB84</f>
        <v>211.94</v>
      </c>
      <c r="CZ84">
        <f>AF84</f>
        <v>31.26</v>
      </c>
      <c r="DA84">
        <f>AJ84</f>
        <v>6.78</v>
      </c>
      <c r="DB84">
        <v>0</v>
      </c>
      <c r="GQ84">
        <v>-1</v>
      </c>
      <c r="GR84">
        <v>-1</v>
      </c>
    </row>
    <row r="85" spans="1:200" x14ac:dyDescent="0.2">
      <c r="A85">
        <f>ROW(Source!A43)</f>
        <v>43</v>
      </c>
      <c r="B85">
        <v>34763707</v>
      </c>
      <c r="C85">
        <v>34763895</v>
      </c>
      <c r="D85">
        <v>31528142</v>
      </c>
      <c r="E85">
        <v>1</v>
      </c>
      <c r="F85">
        <v>1</v>
      </c>
      <c r="G85">
        <v>1</v>
      </c>
      <c r="H85">
        <v>2</v>
      </c>
      <c r="I85" t="s">
        <v>227</v>
      </c>
      <c r="J85" t="s">
        <v>228</v>
      </c>
      <c r="K85" t="s">
        <v>229</v>
      </c>
      <c r="L85">
        <v>1368</v>
      </c>
      <c r="N85">
        <v>1011</v>
      </c>
      <c r="O85" t="s">
        <v>230</v>
      </c>
      <c r="P85" t="s">
        <v>230</v>
      </c>
      <c r="Q85">
        <v>1</v>
      </c>
      <c r="W85">
        <v>0</v>
      </c>
      <c r="X85">
        <v>1372534845</v>
      </c>
      <c r="Y85">
        <v>0.03</v>
      </c>
      <c r="AA85">
        <v>0</v>
      </c>
      <c r="AB85">
        <v>445.51</v>
      </c>
      <c r="AC85">
        <v>11.6</v>
      </c>
      <c r="AD85">
        <v>0</v>
      </c>
      <c r="AE85">
        <v>0</v>
      </c>
      <c r="AF85">
        <v>65.709999999999994</v>
      </c>
      <c r="AG85">
        <v>11.6</v>
      </c>
      <c r="AH85">
        <v>0</v>
      </c>
      <c r="AI85">
        <v>1</v>
      </c>
      <c r="AJ85">
        <v>6.78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5</v>
      </c>
      <c r="AT85">
        <v>0.03</v>
      </c>
      <c r="AU85" t="s">
        <v>5</v>
      </c>
      <c r="AV85">
        <v>0</v>
      </c>
      <c r="AW85">
        <v>2</v>
      </c>
      <c r="AX85">
        <v>34765103</v>
      </c>
      <c r="AY85">
        <v>1</v>
      </c>
      <c r="AZ85">
        <v>0</v>
      </c>
      <c r="BA85">
        <v>99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Y85*Source!I43</f>
        <v>2.0699999999999996E-2</v>
      </c>
      <c r="CY85">
        <f>AB85</f>
        <v>445.51</v>
      </c>
      <c r="CZ85">
        <f>AF85</f>
        <v>65.709999999999994</v>
      </c>
      <c r="DA85">
        <f>AJ85</f>
        <v>6.78</v>
      </c>
      <c r="DB85">
        <v>0</v>
      </c>
      <c r="GQ85">
        <v>-1</v>
      </c>
      <c r="GR85">
        <v>-1</v>
      </c>
    </row>
    <row r="86" spans="1:200" x14ac:dyDescent="0.2">
      <c r="A86">
        <f>ROW(Source!A43)</f>
        <v>43</v>
      </c>
      <c r="B86">
        <v>34763707</v>
      </c>
      <c r="C86">
        <v>34763895</v>
      </c>
      <c r="D86">
        <v>31449148</v>
      </c>
      <c r="E86">
        <v>1</v>
      </c>
      <c r="F86">
        <v>1</v>
      </c>
      <c r="G86">
        <v>1</v>
      </c>
      <c r="H86">
        <v>3</v>
      </c>
      <c r="I86" t="s">
        <v>283</v>
      </c>
      <c r="J86" t="s">
        <v>284</v>
      </c>
      <c r="K86" t="s">
        <v>285</v>
      </c>
      <c r="L86">
        <v>1348</v>
      </c>
      <c r="N86">
        <v>1009</v>
      </c>
      <c r="O86" t="s">
        <v>44</v>
      </c>
      <c r="P86" t="s">
        <v>44</v>
      </c>
      <c r="Q86">
        <v>1000</v>
      </c>
      <c r="W86">
        <v>0</v>
      </c>
      <c r="X86">
        <v>1174701286</v>
      </c>
      <c r="Y86">
        <v>0.01</v>
      </c>
      <c r="AA86">
        <v>81210.84</v>
      </c>
      <c r="AB86">
        <v>0</v>
      </c>
      <c r="AC86">
        <v>0</v>
      </c>
      <c r="AD86">
        <v>0</v>
      </c>
      <c r="AE86">
        <v>11978</v>
      </c>
      <c r="AF86">
        <v>0</v>
      </c>
      <c r="AG86">
        <v>0</v>
      </c>
      <c r="AH86">
        <v>0</v>
      </c>
      <c r="AI86">
        <v>6.78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5</v>
      </c>
      <c r="AT86">
        <v>0.01</v>
      </c>
      <c r="AU86" t="s">
        <v>5</v>
      </c>
      <c r="AV86">
        <v>0</v>
      </c>
      <c r="AW86">
        <v>2</v>
      </c>
      <c r="AX86">
        <v>34765105</v>
      </c>
      <c r="AY86">
        <v>1</v>
      </c>
      <c r="AZ86">
        <v>0</v>
      </c>
      <c r="BA86">
        <v>101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Y86*Source!I43</f>
        <v>6.8999999999999999E-3</v>
      </c>
      <c r="CY86">
        <f>AA86</f>
        <v>81210.84</v>
      </c>
      <c r="CZ86">
        <f>AE86</f>
        <v>11978</v>
      </c>
      <c r="DA86">
        <f>AI86</f>
        <v>6.78</v>
      </c>
      <c r="DB86">
        <v>0</v>
      </c>
      <c r="DH86">
        <f>Source!I43*SmtRes!Y86</f>
        <v>6.8999999999999999E-3</v>
      </c>
      <c r="DI86">
        <f>AA86</f>
        <v>81210.84</v>
      </c>
      <c r="DJ86">
        <f>EtalonRes!Y101</f>
        <v>11978</v>
      </c>
      <c r="DK86">
        <f>Source!BC43</f>
        <v>6.78</v>
      </c>
      <c r="GQ86">
        <v>-1</v>
      </c>
      <c r="GR86">
        <v>-1</v>
      </c>
    </row>
    <row r="87" spans="1:200" x14ac:dyDescent="0.2">
      <c r="A87">
        <f>ROW(Source!A44)</f>
        <v>44</v>
      </c>
      <c r="B87">
        <v>34763685</v>
      </c>
      <c r="C87">
        <v>34763930</v>
      </c>
      <c r="D87">
        <v>31714704</v>
      </c>
      <c r="E87">
        <v>1</v>
      </c>
      <c r="F87">
        <v>1</v>
      </c>
      <c r="G87">
        <v>1</v>
      </c>
      <c r="H87">
        <v>1</v>
      </c>
      <c r="I87" t="s">
        <v>286</v>
      </c>
      <c r="J87" t="s">
        <v>5</v>
      </c>
      <c r="K87" t="s">
        <v>287</v>
      </c>
      <c r="L87">
        <v>1191</v>
      </c>
      <c r="N87">
        <v>1013</v>
      </c>
      <c r="O87" t="s">
        <v>224</v>
      </c>
      <c r="P87" t="s">
        <v>224</v>
      </c>
      <c r="Q87">
        <v>1</v>
      </c>
      <c r="W87">
        <v>0</v>
      </c>
      <c r="X87">
        <v>-814890593</v>
      </c>
      <c r="Y87">
        <v>2.71</v>
      </c>
      <c r="AA87">
        <v>0</v>
      </c>
      <c r="AB87">
        <v>0</v>
      </c>
      <c r="AC87">
        <v>0</v>
      </c>
      <c r="AD87">
        <v>8.9700000000000006</v>
      </c>
      <c r="AE87">
        <v>0</v>
      </c>
      <c r="AF87">
        <v>0</v>
      </c>
      <c r="AG87">
        <v>0</v>
      </c>
      <c r="AH87">
        <v>8.9700000000000006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5</v>
      </c>
      <c r="AT87">
        <v>2.71</v>
      </c>
      <c r="AU87" t="s">
        <v>5</v>
      </c>
      <c r="AV87">
        <v>1</v>
      </c>
      <c r="AW87">
        <v>2</v>
      </c>
      <c r="AX87">
        <v>34765124</v>
      </c>
      <c r="AY87">
        <v>1</v>
      </c>
      <c r="AZ87">
        <v>0</v>
      </c>
      <c r="BA87">
        <v>103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Y87*Source!I44</f>
        <v>15.311500000000001</v>
      </c>
      <c r="CY87">
        <f>AD87</f>
        <v>8.9700000000000006</v>
      </c>
      <c r="CZ87">
        <f>AH87</f>
        <v>8.9700000000000006</v>
      </c>
      <c r="DA87">
        <f>AL87</f>
        <v>1</v>
      </c>
      <c r="DB87">
        <v>0</v>
      </c>
      <c r="GQ87">
        <v>-1</v>
      </c>
      <c r="GR87">
        <v>-1</v>
      </c>
    </row>
    <row r="88" spans="1:200" x14ac:dyDescent="0.2">
      <c r="A88">
        <f>ROW(Source!A44)</f>
        <v>44</v>
      </c>
      <c r="B88">
        <v>34763685</v>
      </c>
      <c r="C88">
        <v>34763930</v>
      </c>
      <c r="D88">
        <v>31446395</v>
      </c>
      <c r="E88">
        <v>1</v>
      </c>
      <c r="F88">
        <v>1</v>
      </c>
      <c r="G88">
        <v>1</v>
      </c>
      <c r="H88">
        <v>3</v>
      </c>
      <c r="I88" t="s">
        <v>239</v>
      </c>
      <c r="J88" t="s">
        <v>240</v>
      </c>
      <c r="K88" t="s">
        <v>241</v>
      </c>
      <c r="L88">
        <v>1339</v>
      </c>
      <c r="N88">
        <v>1007</v>
      </c>
      <c r="O88" t="s">
        <v>242</v>
      </c>
      <c r="P88" t="s">
        <v>242</v>
      </c>
      <c r="Q88">
        <v>1</v>
      </c>
      <c r="W88">
        <v>0</v>
      </c>
      <c r="X88">
        <v>-1660354250</v>
      </c>
      <c r="Y88">
        <v>0.01</v>
      </c>
      <c r="AA88">
        <v>2.44</v>
      </c>
      <c r="AB88">
        <v>0</v>
      </c>
      <c r="AC88">
        <v>0</v>
      </c>
      <c r="AD88">
        <v>0</v>
      </c>
      <c r="AE88">
        <v>2.44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5</v>
      </c>
      <c r="AT88">
        <v>0.01</v>
      </c>
      <c r="AU88" t="s">
        <v>5</v>
      </c>
      <c r="AV88">
        <v>0</v>
      </c>
      <c r="AW88">
        <v>2</v>
      </c>
      <c r="AX88">
        <v>34765125</v>
      </c>
      <c r="AY88">
        <v>1</v>
      </c>
      <c r="AZ88">
        <v>0</v>
      </c>
      <c r="BA88">
        <v>104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Y88*Source!I44</f>
        <v>5.6500000000000002E-2</v>
      </c>
      <c r="CY88">
        <f>AA88</f>
        <v>2.44</v>
      </c>
      <c r="CZ88">
        <f>AE88</f>
        <v>2.44</v>
      </c>
      <c r="DA88">
        <f>AI88</f>
        <v>1</v>
      </c>
      <c r="DB88">
        <v>0</v>
      </c>
      <c r="DH88">
        <f>Source!I44*SmtRes!Y88</f>
        <v>5.6500000000000002E-2</v>
      </c>
      <c r="DI88">
        <f>AA88</f>
        <v>2.44</v>
      </c>
      <c r="DJ88">
        <f>EtalonRes!Y104</f>
        <v>2.44</v>
      </c>
      <c r="DK88">
        <f>Source!BC44</f>
        <v>1</v>
      </c>
      <c r="GQ88">
        <v>-1</v>
      </c>
      <c r="GR88">
        <v>-1</v>
      </c>
    </row>
    <row r="89" spans="1:200" x14ac:dyDescent="0.2">
      <c r="A89">
        <f>ROW(Source!A45)</f>
        <v>45</v>
      </c>
      <c r="B89">
        <v>34763707</v>
      </c>
      <c r="C89">
        <v>34763930</v>
      </c>
      <c r="D89">
        <v>31714704</v>
      </c>
      <c r="E89">
        <v>1</v>
      </c>
      <c r="F89">
        <v>1</v>
      </c>
      <c r="G89">
        <v>1</v>
      </c>
      <c r="H89">
        <v>1</v>
      </c>
      <c r="I89" t="s">
        <v>286</v>
      </c>
      <c r="J89" t="s">
        <v>5</v>
      </c>
      <c r="K89" t="s">
        <v>287</v>
      </c>
      <c r="L89">
        <v>1191</v>
      </c>
      <c r="N89">
        <v>1013</v>
      </c>
      <c r="O89" t="s">
        <v>224</v>
      </c>
      <c r="P89" t="s">
        <v>224</v>
      </c>
      <c r="Q89">
        <v>1</v>
      </c>
      <c r="W89">
        <v>0</v>
      </c>
      <c r="X89">
        <v>-814890593</v>
      </c>
      <c r="Y89">
        <v>2.71</v>
      </c>
      <c r="AA89">
        <v>0</v>
      </c>
      <c r="AB89">
        <v>0</v>
      </c>
      <c r="AC89">
        <v>0</v>
      </c>
      <c r="AD89">
        <v>60.82</v>
      </c>
      <c r="AE89">
        <v>0</v>
      </c>
      <c r="AF89">
        <v>0</v>
      </c>
      <c r="AG89">
        <v>0</v>
      </c>
      <c r="AH89">
        <v>8.9700000000000006</v>
      </c>
      <c r="AI89">
        <v>1</v>
      </c>
      <c r="AJ89">
        <v>1</v>
      </c>
      <c r="AK89">
        <v>1</v>
      </c>
      <c r="AL89">
        <v>6.78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5</v>
      </c>
      <c r="AT89">
        <v>2.71</v>
      </c>
      <c r="AU89" t="s">
        <v>5</v>
      </c>
      <c r="AV89">
        <v>1</v>
      </c>
      <c r="AW89">
        <v>2</v>
      </c>
      <c r="AX89">
        <v>34765124</v>
      </c>
      <c r="AY89">
        <v>1</v>
      </c>
      <c r="AZ89">
        <v>0</v>
      </c>
      <c r="BA89">
        <v>106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Y89*Source!I45</f>
        <v>15.311500000000001</v>
      </c>
      <c r="CY89">
        <f>AD89</f>
        <v>60.82</v>
      </c>
      <c r="CZ89">
        <f>AH89</f>
        <v>8.9700000000000006</v>
      </c>
      <c r="DA89">
        <f>AL89</f>
        <v>6.78</v>
      </c>
      <c r="DB89">
        <v>0</v>
      </c>
      <c r="GQ89">
        <v>-1</v>
      </c>
      <c r="GR89">
        <v>-1</v>
      </c>
    </row>
    <row r="90" spans="1:200" x14ac:dyDescent="0.2">
      <c r="A90">
        <f>ROW(Source!A45)</f>
        <v>45</v>
      </c>
      <c r="B90">
        <v>34763707</v>
      </c>
      <c r="C90">
        <v>34763930</v>
      </c>
      <c r="D90">
        <v>31446395</v>
      </c>
      <c r="E90">
        <v>1</v>
      </c>
      <c r="F90">
        <v>1</v>
      </c>
      <c r="G90">
        <v>1</v>
      </c>
      <c r="H90">
        <v>3</v>
      </c>
      <c r="I90" t="s">
        <v>239</v>
      </c>
      <c r="J90" t="s">
        <v>240</v>
      </c>
      <c r="K90" t="s">
        <v>241</v>
      </c>
      <c r="L90">
        <v>1339</v>
      </c>
      <c r="N90">
        <v>1007</v>
      </c>
      <c r="O90" t="s">
        <v>242</v>
      </c>
      <c r="P90" t="s">
        <v>242</v>
      </c>
      <c r="Q90">
        <v>1</v>
      </c>
      <c r="W90">
        <v>0</v>
      </c>
      <c r="X90">
        <v>-1660354250</v>
      </c>
      <c r="Y90">
        <v>0.01</v>
      </c>
      <c r="AA90">
        <v>16.54</v>
      </c>
      <c r="AB90">
        <v>0</v>
      </c>
      <c r="AC90">
        <v>0</v>
      </c>
      <c r="AD90">
        <v>0</v>
      </c>
      <c r="AE90">
        <v>2.44</v>
      </c>
      <c r="AF90">
        <v>0</v>
      </c>
      <c r="AG90">
        <v>0</v>
      </c>
      <c r="AH90">
        <v>0</v>
      </c>
      <c r="AI90">
        <v>6.78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5</v>
      </c>
      <c r="AT90">
        <v>0.01</v>
      </c>
      <c r="AU90" t="s">
        <v>5</v>
      </c>
      <c r="AV90">
        <v>0</v>
      </c>
      <c r="AW90">
        <v>2</v>
      </c>
      <c r="AX90">
        <v>34765125</v>
      </c>
      <c r="AY90">
        <v>1</v>
      </c>
      <c r="AZ90">
        <v>0</v>
      </c>
      <c r="BA90">
        <v>107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Y90*Source!I45</f>
        <v>5.6500000000000002E-2</v>
      </c>
      <c r="CY90">
        <f>AA90</f>
        <v>16.54</v>
      </c>
      <c r="CZ90">
        <f>AE90</f>
        <v>2.44</v>
      </c>
      <c r="DA90">
        <f>AI90</f>
        <v>6.78</v>
      </c>
      <c r="DB90">
        <v>0</v>
      </c>
      <c r="DH90">
        <f>Source!I45*SmtRes!Y90</f>
        <v>5.6500000000000002E-2</v>
      </c>
      <c r="DI90">
        <f>AA90</f>
        <v>16.54</v>
      </c>
      <c r="DJ90">
        <f>EtalonRes!Y107</f>
        <v>2.44</v>
      </c>
      <c r="DK90">
        <f>Source!BC45</f>
        <v>6.78</v>
      </c>
      <c r="GQ90">
        <v>-1</v>
      </c>
      <c r="GR90">
        <v>-1</v>
      </c>
    </row>
    <row r="91" spans="1:200" x14ac:dyDescent="0.2">
      <c r="A91">
        <f>ROW(Source!A46)</f>
        <v>46</v>
      </c>
      <c r="B91">
        <v>34763685</v>
      </c>
      <c r="C91">
        <v>34764193</v>
      </c>
      <c r="D91">
        <v>31717381</v>
      </c>
      <c r="E91">
        <v>1</v>
      </c>
      <c r="F91">
        <v>1</v>
      </c>
      <c r="G91">
        <v>1</v>
      </c>
      <c r="H91">
        <v>1</v>
      </c>
      <c r="I91" t="s">
        <v>288</v>
      </c>
      <c r="J91" t="s">
        <v>5</v>
      </c>
      <c r="K91" t="s">
        <v>289</v>
      </c>
      <c r="L91">
        <v>1191</v>
      </c>
      <c r="N91">
        <v>1013</v>
      </c>
      <c r="O91" t="s">
        <v>224</v>
      </c>
      <c r="P91" t="s">
        <v>224</v>
      </c>
      <c r="Q91">
        <v>1</v>
      </c>
      <c r="W91">
        <v>0</v>
      </c>
      <c r="X91">
        <v>-1027537862</v>
      </c>
      <c r="Y91">
        <v>166.47</v>
      </c>
      <c r="AA91">
        <v>0</v>
      </c>
      <c r="AB91">
        <v>0</v>
      </c>
      <c r="AC91">
        <v>0</v>
      </c>
      <c r="AD91">
        <v>9.18</v>
      </c>
      <c r="AE91">
        <v>0</v>
      </c>
      <c r="AF91">
        <v>0</v>
      </c>
      <c r="AG91">
        <v>0</v>
      </c>
      <c r="AH91">
        <v>9.18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5</v>
      </c>
      <c r="AT91">
        <v>166.47</v>
      </c>
      <c r="AU91" t="s">
        <v>5</v>
      </c>
      <c r="AV91">
        <v>1</v>
      </c>
      <c r="AW91">
        <v>2</v>
      </c>
      <c r="AX91">
        <v>34765137</v>
      </c>
      <c r="AY91">
        <v>1</v>
      </c>
      <c r="AZ91">
        <v>0</v>
      </c>
      <c r="BA91">
        <v>109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Y91*Source!I46</f>
        <v>86.48116499999999</v>
      </c>
      <c r="CY91">
        <f>AD91</f>
        <v>9.18</v>
      </c>
      <c r="CZ91">
        <f>AH91</f>
        <v>9.18</v>
      </c>
      <c r="DA91">
        <f>AL91</f>
        <v>1</v>
      </c>
      <c r="DB91">
        <v>0</v>
      </c>
      <c r="GQ91">
        <v>-1</v>
      </c>
      <c r="GR91">
        <v>-1</v>
      </c>
    </row>
    <row r="92" spans="1:200" x14ac:dyDescent="0.2">
      <c r="A92">
        <f>ROW(Source!A46)</f>
        <v>46</v>
      </c>
      <c r="B92">
        <v>34763685</v>
      </c>
      <c r="C92">
        <v>34764193</v>
      </c>
      <c r="D92">
        <v>31709492</v>
      </c>
      <c r="E92">
        <v>1</v>
      </c>
      <c r="F92">
        <v>1</v>
      </c>
      <c r="G92">
        <v>1</v>
      </c>
      <c r="H92">
        <v>1</v>
      </c>
      <c r="I92" t="s">
        <v>225</v>
      </c>
      <c r="J92" t="s">
        <v>5</v>
      </c>
      <c r="K92" t="s">
        <v>226</v>
      </c>
      <c r="L92">
        <v>1191</v>
      </c>
      <c r="N92">
        <v>1013</v>
      </c>
      <c r="O92" t="s">
        <v>224</v>
      </c>
      <c r="P92" t="s">
        <v>224</v>
      </c>
      <c r="Q92">
        <v>1</v>
      </c>
      <c r="W92">
        <v>0</v>
      </c>
      <c r="X92">
        <v>-1417349443</v>
      </c>
      <c r="Y92">
        <v>0.57999999999999996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5</v>
      </c>
      <c r="AT92">
        <v>0.57999999999999996</v>
      </c>
      <c r="AU92" t="s">
        <v>5</v>
      </c>
      <c r="AV92">
        <v>2</v>
      </c>
      <c r="AW92">
        <v>2</v>
      </c>
      <c r="AX92">
        <v>34765138</v>
      </c>
      <c r="AY92">
        <v>1</v>
      </c>
      <c r="AZ92">
        <v>0</v>
      </c>
      <c r="BA92">
        <v>110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Y92*Source!I46</f>
        <v>0.30130999999999997</v>
      </c>
      <c r="CY92">
        <f>AD92</f>
        <v>0</v>
      </c>
      <c r="CZ92">
        <f>AH92</f>
        <v>0</v>
      </c>
      <c r="DA92">
        <f>AL92</f>
        <v>1</v>
      </c>
      <c r="DB92">
        <v>0</v>
      </c>
      <c r="GQ92">
        <v>-1</v>
      </c>
      <c r="GR92">
        <v>-1</v>
      </c>
    </row>
    <row r="93" spans="1:200" x14ac:dyDescent="0.2">
      <c r="A93">
        <f>ROW(Source!A46)</f>
        <v>46</v>
      </c>
      <c r="B93">
        <v>34763685</v>
      </c>
      <c r="C93">
        <v>34764193</v>
      </c>
      <c r="D93">
        <v>31527047</v>
      </c>
      <c r="E93">
        <v>1</v>
      </c>
      <c r="F93">
        <v>1</v>
      </c>
      <c r="G93">
        <v>1</v>
      </c>
      <c r="H93">
        <v>2</v>
      </c>
      <c r="I93" t="s">
        <v>280</v>
      </c>
      <c r="J93" t="s">
        <v>281</v>
      </c>
      <c r="K93" t="s">
        <v>282</v>
      </c>
      <c r="L93">
        <v>1368</v>
      </c>
      <c r="N93">
        <v>1011</v>
      </c>
      <c r="O93" t="s">
        <v>230</v>
      </c>
      <c r="P93" t="s">
        <v>230</v>
      </c>
      <c r="Q93">
        <v>1</v>
      </c>
      <c r="W93">
        <v>0</v>
      </c>
      <c r="X93">
        <v>1188625873</v>
      </c>
      <c r="Y93">
        <v>0.08</v>
      </c>
      <c r="AA93">
        <v>0</v>
      </c>
      <c r="AB93">
        <v>31.26</v>
      </c>
      <c r="AC93">
        <v>13.5</v>
      </c>
      <c r="AD93">
        <v>0</v>
      </c>
      <c r="AE93">
        <v>0</v>
      </c>
      <c r="AF93">
        <v>31.26</v>
      </c>
      <c r="AG93">
        <v>13.5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5</v>
      </c>
      <c r="AT93">
        <v>0.08</v>
      </c>
      <c r="AU93" t="s">
        <v>5</v>
      </c>
      <c r="AV93">
        <v>0</v>
      </c>
      <c r="AW93">
        <v>2</v>
      </c>
      <c r="AX93">
        <v>34765139</v>
      </c>
      <c r="AY93">
        <v>1</v>
      </c>
      <c r="AZ93">
        <v>0</v>
      </c>
      <c r="BA93">
        <v>111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Y93*Source!I46</f>
        <v>4.156E-2</v>
      </c>
      <c r="CY93">
        <f>AB93</f>
        <v>31.26</v>
      </c>
      <c r="CZ93">
        <f>AF93</f>
        <v>31.26</v>
      </c>
      <c r="DA93">
        <f>AJ93</f>
        <v>1</v>
      </c>
      <c r="DB93">
        <v>0</v>
      </c>
      <c r="GQ93">
        <v>-1</v>
      </c>
      <c r="GR93">
        <v>-1</v>
      </c>
    </row>
    <row r="94" spans="1:200" x14ac:dyDescent="0.2">
      <c r="A94">
        <f>ROW(Source!A46)</f>
        <v>46</v>
      </c>
      <c r="B94">
        <v>34763685</v>
      </c>
      <c r="C94">
        <v>34764193</v>
      </c>
      <c r="D94">
        <v>31528142</v>
      </c>
      <c r="E94">
        <v>1</v>
      </c>
      <c r="F94">
        <v>1</v>
      </c>
      <c r="G94">
        <v>1</v>
      </c>
      <c r="H94">
        <v>2</v>
      </c>
      <c r="I94" t="s">
        <v>227</v>
      </c>
      <c r="J94" t="s">
        <v>228</v>
      </c>
      <c r="K94" t="s">
        <v>229</v>
      </c>
      <c r="L94">
        <v>1368</v>
      </c>
      <c r="N94">
        <v>1011</v>
      </c>
      <c r="O94" t="s">
        <v>230</v>
      </c>
      <c r="P94" t="s">
        <v>230</v>
      </c>
      <c r="Q94">
        <v>1</v>
      </c>
      <c r="W94">
        <v>0</v>
      </c>
      <c r="X94">
        <v>1372534845</v>
      </c>
      <c r="Y94">
        <v>0.5</v>
      </c>
      <c r="AA94">
        <v>0</v>
      </c>
      <c r="AB94">
        <v>65.709999999999994</v>
      </c>
      <c r="AC94">
        <v>11.6</v>
      </c>
      <c r="AD94">
        <v>0</v>
      </c>
      <c r="AE94">
        <v>0</v>
      </c>
      <c r="AF94">
        <v>65.709999999999994</v>
      </c>
      <c r="AG94">
        <v>11.6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5</v>
      </c>
      <c r="AT94">
        <v>0.5</v>
      </c>
      <c r="AU94" t="s">
        <v>5</v>
      </c>
      <c r="AV94">
        <v>0</v>
      </c>
      <c r="AW94">
        <v>2</v>
      </c>
      <c r="AX94">
        <v>34765140</v>
      </c>
      <c r="AY94">
        <v>1</v>
      </c>
      <c r="AZ94">
        <v>0</v>
      </c>
      <c r="BA94">
        <v>112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Y94*Source!I46</f>
        <v>0.25974999999999998</v>
      </c>
      <c r="CY94">
        <f>AB94</f>
        <v>65.709999999999994</v>
      </c>
      <c r="CZ94">
        <f>AF94</f>
        <v>65.709999999999994</v>
      </c>
      <c r="DA94">
        <f>AJ94</f>
        <v>1</v>
      </c>
      <c r="DB94">
        <v>0</v>
      </c>
      <c r="GQ94">
        <v>-1</v>
      </c>
      <c r="GR94">
        <v>-1</v>
      </c>
    </row>
    <row r="95" spans="1:200" x14ac:dyDescent="0.2">
      <c r="A95">
        <f>ROW(Source!A46)</f>
        <v>46</v>
      </c>
      <c r="B95">
        <v>34763685</v>
      </c>
      <c r="C95">
        <v>34764193</v>
      </c>
      <c r="D95">
        <v>31450127</v>
      </c>
      <c r="E95">
        <v>1</v>
      </c>
      <c r="F95">
        <v>1</v>
      </c>
      <c r="G95">
        <v>1</v>
      </c>
      <c r="H95">
        <v>3</v>
      </c>
      <c r="I95" t="s">
        <v>290</v>
      </c>
      <c r="J95" t="s">
        <v>291</v>
      </c>
      <c r="K95" t="s">
        <v>292</v>
      </c>
      <c r="L95">
        <v>1346</v>
      </c>
      <c r="N95">
        <v>1009</v>
      </c>
      <c r="O95" t="s">
        <v>265</v>
      </c>
      <c r="P95" t="s">
        <v>265</v>
      </c>
      <c r="Q95">
        <v>1</v>
      </c>
      <c r="W95">
        <v>0</v>
      </c>
      <c r="X95">
        <v>813963326</v>
      </c>
      <c r="Y95">
        <v>0.2</v>
      </c>
      <c r="AA95">
        <v>1.82</v>
      </c>
      <c r="AB95">
        <v>0</v>
      </c>
      <c r="AC95">
        <v>0</v>
      </c>
      <c r="AD95">
        <v>0</v>
      </c>
      <c r="AE95">
        <v>1.82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5</v>
      </c>
      <c r="AT95">
        <v>0.2</v>
      </c>
      <c r="AU95" t="s">
        <v>5</v>
      </c>
      <c r="AV95">
        <v>0</v>
      </c>
      <c r="AW95">
        <v>2</v>
      </c>
      <c r="AX95">
        <v>34765142</v>
      </c>
      <c r="AY95">
        <v>1</v>
      </c>
      <c r="AZ95">
        <v>0</v>
      </c>
      <c r="BA95">
        <v>114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Y95*Source!I46</f>
        <v>0.10389999999999999</v>
      </c>
      <c r="CY95">
        <f>AA95</f>
        <v>1.82</v>
      </c>
      <c r="CZ95">
        <f>AE95</f>
        <v>1.82</v>
      </c>
      <c r="DA95">
        <f>AI95</f>
        <v>1</v>
      </c>
      <c r="DB95">
        <v>0</v>
      </c>
      <c r="DH95">
        <f>Source!I46*SmtRes!Y95</f>
        <v>0.10389999999999999</v>
      </c>
      <c r="DI95">
        <f>AA95</f>
        <v>1.82</v>
      </c>
      <c r="DJ95">
        <f>EtalonRes!Y114</f>
        <v>1.82</v>
      </c>
      <c r="DK95">
        <f>Source!BC46</f>
        <v>1</v>
      </c>
      <c r="GQ95">
        <v>-1</v>
      </c>
      <c r="GR95">
        <v>-1</v>
      </c>
    </row>
    <row r="96" spans="1:200" x14ac:dyDescent="0.2">
      <c r="A96">
        <f>ROW(Source!A46)</f>
        <v>46</v>
      </c>
      <c r="B96">
        <v>34763685</v>
      </c>
      <c r="C96">
        <v>34764193</v>
      </c>
      <c r="D96">
        <v>0</v>
      </c>
      <c r="E96">
        <v>0</v>
      </c>
      <c r="F96">
        <v>1</v>
      </c>
      <c r="G96">
        <v>1</v>
      </c>
      <c r="H96">
        <v>3</v>
      </c>
      <c r="I96" t="s">
        <v>42</v>
      </c>
      <c r="J96" t="s">
        <v>5</v>
      </c>
      <c r="K96" t="s">
        <v>92</v>
      </c>
      <c r="L96">
        <v>1348</v>
      </c>
      <c r="N96">
        <v>1009</v>
      </c>
      <c r="O96" t="s">
        <v>44</v>
      </c>
      <c r="P96" t="s">
        <v>44</v>
      </c>
      <c r="Q96">
        <v>1000</v>
      </c>
      <c r="W96">
        <v>0</v>
      </c>
      <c r="X96">
        <v>1449582765</v>
      </c>
      <c r="Y96">
        <v>8.8999999999999999E-3</v>
      </c>
      <c r="AA96">
        <v>9218.2900000000009</v>
      </c>
      <c r="AB96">
        <v>0</v>
      </c>
      <c r="AC96">
        <v>0</v>
      </c>
      <c r="AD96">
        <v>0</v>
      </c>
      <c r="AE96">
        <v>9218.2900000000009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5</v>
      </c>
      <c r="AT96">
        <v>8.8999999999999999E-3</v>
      </c>
      <c r="AU96" t="s">
        <v>5</v>
      </c>
      <c r="AV96">
        <v>0</v>
      </c>
      <c r="AW96">
        <v>1</v>
      </c>
      <c r="AX96">
        <v>-1</v>
      </c>
      <c r="AY96">
        <v>0</v>
      </c>
      <c r="AZ96">
        <v>0</v>
      </c>
      <c r="BA96" t="s">
        <v>5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Y96*Source!I46</f>
        <v>4.6235499999999997E-3</v>
      </c>
      <c r="CY96">
        <f>AA96</f>
        <v>9218.2900000000009</v>
      </c>
      <c r="CZ96">
        <f>AE96</f>
        <v>9218.2900000000009</v>
      </c>
      <c r="DA96">
        <f>AI96</f>
        <v>1</v>
      </c>
      <c r="DB96">
        <v>0</v>
      </c>
      <c r="DH96">
        <f>Source!I46*SmtRes!Y96</f>
        <v>4.6235499999999997E-3</v>
      </c>
      <c r="DI96">
        <f>AA96</f>
        <v>9218.2900000000009</v>
      </c>
      <c r="DK96">
        <f>Source!BC46</f>
        <v>1</v>
      </c>
      <c r="GP96">
        <v>1</v>
      </c>
      <c r="GQ96">
        <v>-1</v>
      </c>
      <c r="GR96">
        <v>-1</v>
      </c>
    </row>
    <row r="97" spans="1:200" x14ac:dyDescent="0.2">
      <c r="A97">
        <f>ROW(Source!A46)</f>
        <v>46</v>
      </c>
      <c r="B97">
        <v>34763685</v>
      </c>
      <c r="C97">
        <v>34764193</v>
      </c>
      <c r="D97">
        <v>0</v>
      </c>
      <c r="E97">
        <v>0</v>
      </c>
      <c r="F97">
        <v>1</v>
      </c>
      <c r="G97">
        <v>1</v>
      </c>
      <c r="H97">
        <v>3</v>
      </c>
      <c r="I97" t="s">
        <v>42</v>
      </c>
      <c r="J97" t="s">
        <v>5</v>
      </c>
      <c r="K97" t="s">
        <v>84</v>
      </c>
      <c r="L97">
        <v>1327</v>
      </c>
      <c r="N97">
        <v>1005</v>
      </c>
      <c r="O97" t="s">
        <v>85</v>
      </c>
      <c r="P97" t="s">
        <v>85</v>
      </c>
      <c r="Q97">
        <v>1</v>
      </c>
      <c r="W97">
        <v>0</v>
      </c>
      <c r="X97">
        <v>351952203</v>
      </c>
      <c r="Y97">
        <v>105</v>
      </c>
      <c r="AA97">
        <v>29.19</v>
      </c>
      <c r="AB97">
        <v>0</v>
      </c>
      <c r="AC97">
        <v>0</v>
      </c>
      <c r="AD97">
        <v>0</v>
      </c>
      <c r="AE97">
        <v>29.19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5</v>
      </c>
      <c r="AT97">
        <v>105</v>
      </c>
      <c r="AU97" t="s">
        <v>5</v>
      </c>
      <c r="AV97">
        <v>0</v>
      </c>
      <c r="AW97">
        <v>1</v>
      </c>
      <c r="AX97">
        <v>-1</v>
      </c>
      <c r="AY97">
        <v>0</v>
      </c>
      <c r="AZ97">
        <v>0</v>
      </c>
      <c r="BA97" t="s">
        <v>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Y97*Source!I46</f>
        <v>54.547499999999999</v>
      </c>
      <c r="CY97">
        <f>AA97</f>
        <v>29.19</v>
      </c>
      <c r="CZ97">
        <f>AE97</f>
        <v>29.19</v>
      </c>
      <c r="DA97">
        <f>AI97</f>
        <v>1</v>
      </c>
      <c r="DB97">
        <v>0</v>
      </c>
      <c r="DH97">
        <f>Source!I46*SmtRes!Y97</f>
        <v>54.547499999999999</v>
      </c>
      <c r="DI97">
        <f>AA97</f>
        <v>29.19</v>
      </c>
      <c r="DK97">
        <f>Source!BC46</f>
        <v>1</v>
      </c>
      <c r="GP97">
        <v>1</v>
      </c>
      <c r="GQ97">
        <v>-1</v>
      </c>
      <c r="GR97">
        <v>-1</v>
      </c>
    </row>
    <row r="98" spans="1:200" x14ac:dyDescent="0.2">
      <c r="A98">
        <f>ROW(Source!A46)</f>
        <v>46</v>
      </c>
      <c r="B98">
        <v>34763685</v>
      </c>
      <c r="C98">
        <v>34764193</v>
      </c>
      <c r="D98">
        <v>0</v>
      </c>
      <c r="E98">
        <v>0</v>
      </c>
      <c r="F98">
        <v>1</v>
      </c>
      <c r="G98">
        <v>1</v>
      </c>
      <c r="H98">
        <v>3</v>
      </c>
      <c r="I98" t="s">
        <v>42</v>
      </c>
      <c r="J98" t="s">
        <v>5</v>
      </c>
      <c r="K98" t="s">
        <v>88</v>
      </c>
      <c r="L98">
        <v>1301</v>
      </c>
      <c r="N98">
        <v>1003</v>
      </c>
      <c r="O98" t="s">
        <v>89</v>
      </c>
      <c r="P98" t="s">
        <v>89</v>
      </c>
      <c r="Q98">
        <v>1</v>
      </c>
      <c r="W98">
        <v>0</v>
      </c>
      <c r="X98">
        <v>184492587</v>
      </c>
      <c r="Y98">
        <v>48.411935</v>
      </c>
      <c r="AA98">
        <v>42.63</v>
      </c>
      <c r="AB98">
        <v>0</v>
      </c>
      <c r="AC98">
        <v>0</v>
      </c>
      <c r="AD98">
        <v>0</v>
      </c>
      <c r="AE98">
        <v>42.63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5</v>
      </c>
      <c r="AT98">
        <v>48.411935</v>
      </c>
      <c r="AU98" t="s">
        <v>5</v>
      </c>
      <c r="AV98">
        <v>0</v>
      </c>
      <c r="AW98">
        <v>1</v>
      </c>
      <c r="AX98">
        <v>-1</v>
      </c>
      <c r="AY98">
        <v>0</v>
      </c>
      <c r="AZ98">
        <v>0</v>
      </c>
      <c r="BA98" t="s">
        <v>5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Y98*Source!I46</f>
        <v>25.150000232499998</v>
      </c>
      <c r="CY98">
        <f>AA98</f>
        <v>42.63</v>
      </c>
      <c r="CZ98">
        <f>AE98</f>
        <v>42.63</v>
      </c>
      <c r="DA98">
        <f>AI98</f>
        <v>1</v>
      </c>
      <c r="DB98">
        <v>0</v>
      </c>
      <c r="DH98">
        <f>Source!I46*SmtRes!Y98</f>
        <v>25.150000232499998</v>
      </c>
      <c r="DI98">
        <f>AA98</f>
        <v>42.63</v>
      </c>
      <c r="DK98">
        <f>Source!BC46</f>
        <v>1</v>
      </c>
      <c r="GP98">
        <v>1</v>
      </c>
      <c r="GQ98">
        <v>-1</v>
      </c>
      <c r="GR98">
        <v>-1</v>
      </c>
    </row>
    <row r="99" spans="1:200" x14ac:dyDescent="0.2">
      <c r="A99">
        <f>ROW(Source!A47)</f>
        <v>47</v>
      </c>
      <c r="B99">
        <v>34763707</v>
      </c>
      <c r="C99">
        <v>34764193</v>
      </c>
      <c r="D99">
        <v>31717381</v>
      </c>
      <c r="E99">
        <v>1</v>
      </c>
      <c r="F99">
        <v>1</v>
      </c>
      <c r="G99">
        <v>1</v>
      </c>
      <c r="H99">
        <v>1</v>
      </c>
      <c r="I99" t="s">
        <v>288</v>
      </c>
      <c r="J99" t="s">
        <v>5</v>
      </c>
      <c r="K99" t="s">
        <v>289</v>
      </c>
      <c r="L99">
        <v>1191</v>
      </c>
      <c r="N99">
        <v>1013</v>
      </c>
      <c r="O99" t="s">
        <v>224</v>
      </c>
      <c r="P99" t="s">
        <v>224</v>
      </c>
      <c r="Q99">
        <v>1</v>
      </c>
      <c r="W99">
        <v>0</v>
      </c>
      <c r="X99">
        <v>-1027537862</v>
      </c>
      <c r="Y99">
        <v>166.47</v>
      </c>
      <c r="AA99">
        <v>0</v>
      </c>
      <c r="AB99">
        <v>0</v>
      </c>
      <c r="AC99">
        <v>0</v>
      </c>
      <c r="AD99">
        <v>62.24</v>
      </c>
      <c r="AE99">
        <v>0</v>
      </c>
      <c r="AF99">
        <v>0</v>
      </c>
      <c r="AG99">
        <v>0</v>
      </c>
      <c r="AH99">
        <v>9.18</v>
      </c>
      <c r="AI99">
        <v>1</v>
      </c>
      <c r="AJ99">
        <v>1</v>
      </c>
      <c r="AK99">
        <v>1</v>
      </c>
      <c r="AL99">
        <v>6.78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5</v>
      </c>
      <c r="AT99">
        <v>166.47</v>
      </c>
      <c r="AU99" t="s">
        <v>5</v>
      </c>
      <c r="AV99">
        <v>1</v>
      </c>
      <c r="AW99">
        <v>2</v>
      </c>
      <c r="AX99">
        <v>34765137</v>
      </c>
      <c r="AY99">
        <v>1</v>
      </c>
      <c r="AZ99">
        <v>0</v>
      </c>
      <c r="BA99">
        <v>117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Y99*Source!I47</f>
        <v>86.48116499999999</v>
      </c>
      <c r="CY99">
        <f>AD99</f>
        <v>62.24</v>
      </c>
      <c r="CZ99">
        <f>AH99</f>
        <v>9.18</v>
      </c>
      <c r="DA99">
        <f>AL99</f>
        <v>6.78</v>
      </c>
      <c r="DB99">
        <v>0</v>
      </c>
      <c r="GQ99">
        <v>-1</v>
      </c>
      <c r="GR99">
        <v>-1</v>
      </c>
    </row>
    <row r="100" spans="1:200" x14ac:dyDescent="0.2">
      <c r="A100">
        <f>ROW(Source!A47)</f>
        <v>47</v>
      </c>
      <c r="B100">
        <v>34763707</v>
      </c>
      <c r="C100">
        <v>34764193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225</v>
      </c>
      <c r="J100" t="s">
        <v>5</v>
      </c>
      <c r="K100" t="s">
        <v>226</v>
      </c>
      <c r="L100">
        <v>1191</v>
      </c>
      <c r="N100">
        <v>1013</v>
      </c>
      <c r="O100" t="s">
        <v>224</v>
      </c>
      <c r="P100" t="s">
        <v>224</v>
      </c>
      <c r="Q100">
        <v>1</v>
      </c>
      <c r="W100">
        <v>0</v>
      </c>
      <c r="X100">
        <v>-1417349443</v>
      </c>
      <c r="Y100">
        <v>0.57999999999999996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6.78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5</v>
      </c>
      <c r="AT100">
        <v>0.57999999999999996</v>
      </c>
      <c r="AU100" t="s">
        <v>5</v>
      </c>
      <c r="AV100">
        <v>2</v>
      </c>
      <c r="AW100">
        <v>2</v>
      </c>
      <c r="AX100">
        <v>34765138</v>
      </c>
      <c r="AY100">
        <v>1</v>
      </c>
      <c r="AZ100">
        <v>0</v>
      </c>
      <c r="BA100">
        <v>118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Y100*Source!I47</f>
        <v>0.30130999999999997</v>
      </c>
      <c r="CY100">
        <f>AD100</f>
        <v>0</v>
      </c>
      <c r="CZ100">
        <f>AH100</f>
        <v>0</v>
      </c>
      <c r="DA100">
        <f>AL100</f>
        <v>1</v>
      </c>
      <c r="DB100">
        <v>0</v>
      </c>
      <c r="GQ100">
        <v>-1</v>
      </c>
      <c r="GR100">
        <v>-1</v>
      </c>
    </row>
    <row r="101" spans="1:200" x14ac:dyDescent="0.2">
      <c r="A101">
        <f>ROW(Source!A47)</f>
        <v>47</v>
      </c>
      <c r="B101">
        <v>34763707</v>
      </c>
      <c r="C101">
        <v>34764193</v>
      </c>
      <c r="D101">
        <v>31527047</v>
      </c>
      <c r="E101">
        <v>1</v>
      </c>
      <c r="F101">
        <v>1</v>
      </c>
      <c r="G101">
        <v>1</v>
      </c>
      <c r="H101">
        <v>2</v>
      </c>
      <c r="I101" t="s">
        <v>280</v>
      </c>
      <c r="J101" t="s">
        <v>281</v>
      </c>
      <c r="K101" t="s">
        <v>282</v>
      </c>
      <c r="L101">
        <v>1368</v>
      </c>
      <c r="N101">
        <v>1011</v>
      </c>
      <c r="O101" t="s">
        <v>230</v>
      </c>
      <c r="P101" t="s">
        <v>230</v>
      </c>
      <c r="Q101">
        <v>1</v>
      </c>
      <c r="W101">
        <v>0</v>
      </c>
      <c r="X101">
        <v>1188625873</v>
      </c>
      <c r="Y101">
        <v>0.08</v>
      </c>
      <c r="AA101">
        <v>0</v>
      </c>
      <c r="AB101">
        <v>211.94</v>
      </c>
      <c r="AC101">
        <v>13.5</v>
      </c>
      <c r="AD101">
        <v>0</v>
      </c>
      <c r="AE101">
        <v>0</v>
      </c>
      <c r="AF101">
        <v>31.26</v>
      </c>
      <c r="AG101">
        <v>13.5</v>
      </c>
      <c r="AH101">
        <v>0</v>
      </c>
      <c r="AI101">
        <v>1</v>
      </c>
      <c r="AJ101">
        <v>6.78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5</v>
      </c>
      <c r="AT101">
        <v>0.08</v>
      </c>
      <c r="AU101" t="s">
        <v>5</v>
      </c>
      <c r="AV101">
        <v>0</v>
      </c>
      <c r="AW101">
        <v>2</v>
      </c>
      <c r="AX101">
        <v>34765139</v>
      </c>
      <c r="AY101">
        <v>1</v>
      </c>
      <c r="AZ101">
        <v>0</v>
      </c>
      <c r="BA101">
        <v>119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Y101*Source!I47</f>
        <v>4.156E-2</v>
      </c>
      <c r="CY101">
        <f>AB101</f>
        <v>211.94</v>
      </c>
      <c r="CZ101">
        <f>AF101</f>
        <v>31.26</v>
      </c>
      <c r="DA101">
        <f>AJ101</f>
        <v>6.78</v>
      </c>
      <c r="DB101">
        <v>0</v>
      </c>
      <c r="GQ101">
        <v>-1</v>
      </c>
      <c r="GR101">
        <v>-1</v>
      </c>
    </row>
    <row r="102" spans="1:200" x14ac:dyDescent="0.2">
      <c r="A102">
        <f>ROW(Source!A47)</f>
        <v>47</v>
      </c>
      <c r="B102">
        <v>34763707</v>
      </c>
      <c r="C102">
        <v>34764193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227</v>
      </c>
      <c r="J102" t="s">
        <v>228</v>
      </c>
      <c r="K102" t="s">
        <v>229</v>
      </c>
      <c r="L102">
        <v>1368</v>
      </c>
      <c r="N102">
        <v>1011</v>
      </c>
      <c r="O102" t="s">
        <v>230</v>
      </c>
      <c r="P102" t="s">
        <v>230</v>
      </c>
      <c r="Q102">
        <v>1</v>
      </c>
      <c r="W102">
        <v>0</v>
      </c>
      <c r="X102">
        <v>1372534845</v>
      </c>
      <c r="Y102">
        <v>0.5</v>
      </c>
      <c r="AA102">
        <v>0</v>
      </c>
      <c r="AB102">
        <v>445.51</v>
      </c>
      <c r="AC102">
        <v>11.6</v>
      </c>
      <c r="AD102">
        <v>0</v>
      </c>
      <c r="AE102">
        <v>0</v>
      </c>
      <c r="AF102">
        <v>65.709999999999994</v>
      </c>
      <c r="AG102">
        <v>11.6</v>
      </c>
      <c r="AH102">
        <v>0</v>
      </c>
      <c r="AI102">
        <v>1</v>
      </c>
      <c r="AJ102">
        <v>6.78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5</v>
      </c>
      <c r="AT102">
        <v>0.5</v>
      </c>
      <c r="AU102" t="s">
        <v>5</v>
      </c>
      <c r="AV102">
        <v>0</v>
      </c>
      <c r="AW102">
        <v>2</v>
      </c>
      <c r="AX102">
        <v>34765140</v>
      </c>
      <c r="AY102">
        <v>1</v>
      </c>
      <c r="AZ102">
        <v>0</v>
      </c>
      <c r="BA102">
        <v>120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Y102*Source!I47</f>
        <v>0.25974999999999998</v>
      </c>
      <c r="CY102">
        <f>AB102</f>
        <v>445.51</v>
      </c>
      <c r="CZ102">
        <f>AF102</f>
        <v>65.709999999999994</v>
      </c>
      <c r="DA102">
        <f>AJ102</f>
        <v>6.78</v>
      </c>
      <c r="DB102">
        <v>0</v>
      </c>
      <c r="GQ102">
        <v>-1</v>
      </c>
      <c r="GR102">
        <v>-1</v>
      </c>
    </row>
    <row r="103" spans="1:200" x14ac:dyDescent="0.2">
      <c r="A103">
        <f>ROW(Source!A47)</f>
        <v>47</v>
      </c>
      <c r="B103">
        <v>34763707</v>
      </c>
      <c r="C103">
        <v>34764193</v>
      </c>
      <c r="D103">
        <v>31450127</v>
      </c>
      <c r="E103">
        <v>1</v>
      </c>
      <c r="F103">
        <v>1</v>
      </c>
      <c r="G103">
        <v>1</v>
      </c>
      <c r="H103">
        <v>3</v>
      </c>
      <c r="I103" t="s">
        <v>290</v>
      </c>
      <c r="J103" t="s">
        <v>291</v>
      </c>
      <c r="K103" t="s">
        <v>292</v>
      </c>
      <c r="L103">
        <v>1346</v>
      </c>
      <c r="N103">
        <v>1009</v>
      </c>
      <c r="O103" t="s">
        <v>265</v>
      </c>
      <c r="P103" t="s">
        <v>265</v>
      </c>
      <c r="Q103">
        <v>1</v>
      </c>
      <c r="W103">
        <v>0</v>
      </c>
      <c r="X103">
        <v>813963326</v>
      </c>
      <c r="Y103">
        <v>0.2</v>
      </c>
      <c r="AA103">
        <v>12.34</v>
      </c>
      <c r="AB103">
        <v>0</v>
      </c>
      <c r="AC103">
        <v>0</v>
      </c>
      <c r="AD103">
        <v>0</v>
      </c>
      <c r="AE103">
        <v>1.82</v>
      </c>
      <c r="AF103">
        <v>0</v>
      </c>
      <c r="AG103">
        <v>0</v>
      </c>
      <c r="AH103">
        <v>0</v>
      </c>
      <c r="AI103">
        <v>6.78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5</v>
      </c>
      <c r="AT103">
        <v>0.2</v>
      </c>
      <c r="AU103" t="s">
        <v>5</v>
      </c>
      <c r="AV103">
        <v>0</v>
      </c>
      <c r="AW103">
        <v>2</v>
      </c>
      <c r="AX103">
        <v>34765142</v>
      </c>
      <c r="AY103">
        <v>1</v>
      </c>
      <c r="AZ103">
        <v>0</v>
      </c>
      <c r="BA103">
        <v>122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Y103*Source!I47</f>
        <v>0.10389999999999999</v>
      </c>
      <c r="CY103">
        <f>AA103</f>
        <v>12.34</v>
      </c>
      <c r="CZ103">
        <f>AE103</f>
        <v>1.82</v>
      </c>
      <c r="DA103">
        <f>AI103</f>
        <v>6.78</v>
      </c>
      <c r="DB103">
        <v>0</v>
      </c>
      <c r="DH103">
        <f>Source!I47*SmtRes!Y103</f>
        <v>0.10389999999999999</v>
      </c>
      <c r="DI103">
        <f>AA103</f>
        <v>12.34</v>
      </c>
      <c r="DJ103">
        <f>EtalonRes!Y122</f>
        <v>1.82</v>
      </c>
      <c r="DK103">
        <f>Source!BC47</f>
        <v>6.78</v>
      </c>
      <c r="GQ103">
        <v>-1</v>
      </c>
      <c r="GR103">
        <v>-1</v>
      </c>
    </row>
    <row r="104" spans="1:200" x14ac:dyDescent="0.2">
      <c r="A104">
        <f>ROW(Source!A47)</f>
        <v>47</v>
      </c>
      <c r="B104">
        <v>34763707</v>
      </c>
      <c r="C104">
        <v>34764193</v>
      </c>
      <c r="D104">
        <v>0</v>
      </c>
      <c r="E104">
        <v>0</v>
      </c>
      <c r="F104">
        <v>1</v>
      </c>
      <c r="G104">
        <v>1</v>
      </c>
      <c r="H104">
        <v>3</v>
      </c>
      <c r="I104" t="s">
        <v>42</v>
      </c>
      <c r="J104" t="s">
        <v>5</v>
      </c>
      <c r="K104" t="s">
        <v>92</v>
      </c>
      <c r="L104">
        <v>1348</v>
      </c>
      <c r="N104">
        <v>1009</v>
      </c>
      <c r="O104" t="s">
        <v>44</v>
      </c>
      <c r="P104" t="s">
        <v>44</v>
      </c>
      <c r="Q104">
        <v>1000</v>
      </c>
      <c r="W104">
        <v>0</v>
      </c>
      <c r="X104">
        <v>1449582765</v>
      </c>
      <c r="Y104">
        <v>8.8999999999999999E-3</v>
      </c>
      <c r="AA104">
        <v>75000</v>
      </c>
      <c r="AB104">
        <v>0</v>
      </c>
      <c r="AC104">
        <v>0</v>
      </c>
      <c r="AD104">
        <v>0</v>
      </c>
      <c r="AE104">
        <v>9218.2900000000009</v>
      </c>
      <c r="AF104">
        <v>0</v>
      </c>
      <c r="AG104">
        <v>0</v>
      </c>
      <c r="AH104">
        <v>0</v>
      </c>
      <c r="AI104">
        <v>6.78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5</v>
      </c>
      <c r="AT104">
        <v>8.8999999999999999E-3</v>
      </c>
      <c r="AU104" t="s">
        <v>5</v>
      </c>
      <c r="AV104">
        <v>0</v>
      </c>
      <c r="AW104">
        <v>1</v>
      </c>
      <c r="AX104">
        <v>-1</v>
      </c>
      <c r="AY104">
        <v>0</v>
      </c>
      <c r="AZ104">
        <v>0</v>
      </c>
      <c r="BA104" t="s">
        <v>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Y104*Source!I47</f>
        <v>4.6235499999999997E-3</v>
      </c>
      <c r="CY104">
        <f>AA104</f>
        <v>75000</v>
      </c>
      <c r="CZ104">
        <f>AE104</f>
        <v>9218.2900000000009</v>
      </c>
      <c r="DA104">
        <f>AI104</f>
        <v>6.78</v>
      </c>
      <c r="DB104">
        <v>0</v>
      </c>
      <c r="DH104">
        <f>Source!I47*SmtRes!Y104</f>
        <v>4.6235499999999997E-3</v>
      </c>
      <c r="DI104">
        <f>AA104</f>
        <v>75000</v>
      </c>
      <c r="DK104">
        <f>Source!BC47</f>
        <v>6.78</v>
      </c>
      <c r="GP104">
        <v>1</v>
      </c>
      <c r="GQ104">
        <v>-1</v>
      </c>
      <c r="GR104">
        <v>-1</v>
      </c>
    </row>
    <row r="105" spans="1:200" x14ac:dyDescent="0.2">
      <c r="A105">
        <f>ROW(Source!A47)</f>
        <v>47</v>
      </c>
      <c r="B105">
        <v>34763707</v>
      </c>
      <c r="C105">
        <v>34764193</v>
      </c>
      <c r="D105">
        <v>0</v>
      </c>
      <c r="E105">
        <v>0</v>
      </c>
      <c r="F105">
        <v>1</v>
      </c>
      <c r="G105">
        <v>1</v>
      </c>
      <c r="H105">
        <v>3</v>
      </c>
      <c r="I105" t="s">
        <v>42</v>
      </c>
      <c r="J105" t="s">
        <v>5</v>
      </c>
      <c r="K105" t="s">
        <v>84</v>
      </c>
      <c r="L105">
        <v>1327</v>
      </c>
      <c r="N105">
        <v>1005</v>
      </c>
      <c r="O105" t="s">
        <v>85</v>
      </c>
      <c r="P105" t="s">
        <v>85</v>
      </c>
      <c r="Q105">
        <v>1</v>
      </c>
      <c r="W105">
        <v>0</v>
      </c>
      <c r="X105">
        <v>351952203</v>
      </c>
      <c r="Y105">
        <v>105</v>
      </c>
      <c r="AA105">
        <v>237.5</v>
      </c>
      <c r="AB105">
        <v>0</v>
      </c>
      <c r="AC105">
        <v>0</v>
      </c>
      <c r="AD105">
        <v>0</v>
      </c>
      <c r="AE105">
        <v>29.19</v>
      </c>
      <c r="AF105">
        <v>0</v>
      </c>
      <c r="AG105">
        <v>0</v>
      </c>
      <c r="AH105">
        <v>0</v>
      </c>
      <c r="AI105">
        <v>6.78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5</v>
      </c>
      <c r="AT105">
        <v>105</v>
      </c>
      <c r="AU105" t="s">
        <v>5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Y105*Source!I47</f>
        <v>54.547499999999999</v>
      </c>
      <c r="CY105">
        <f>AA105</f>
        <v>237.5</v>
      </c>
      <c r="CZ105">
        <f>AE105</f>
        <v>29.19</v>
      </c>
      <c r="DA105">
        <f>AI105</f>
        <v>6.78</v>
      </c>
      <c r="DB105">
        <v>0</v>
      </c>
      <c r="DH105">
        <f>Source!I47*SmtRes!Y105</f>
        <v>54.547499999999999</v>
      </c>
      <c r="DI105">
        <f>AA105</f>
        <v>237.5</v>
      </c>
      <c r="DK105">
        <f>Source!BC47</f>
        <v>6.78</v>
      </c>
      <c r="GP105">
        <v>1</v>
      </c>
      <c r="GQ105">
        <v>-1</v>
      </c>
      <c r="GR105">
        <v>-1</v>
      </c>
    </row>
    <row r="106" spans="1:200" x14ac:dyDescent="0.2">
      <c r="A106">
        <f>ROW(Source!A47)</f>
        <v>47</v>
      </c>
      <c r="B106">
        <v>34763707</v>
      </c>
      <c r="C106">
        <v>34764193</v>
      </c>
      <c r="D106">
        <v>0</v>
      </c>
      <c r="E106">
        <v>0</v>
      </c>
      <c r="F106">
        <v>1</v>
      </c>
      <c r="G106">
        <v>1</v>
      </c>
      <c r="H106">
        <v>3</v>
      </c>
      <c r="I106" t="s">
        <v>42</v>
      </c>
      <c r="J106" t="s">
        <v>5</v>
      </c>
      <c r="K106" t="s">
        <v>88</v>
      </c>
      <c r="L106">
        <v>1301</v>
      </c>
      <c r="N106">
        <v>1003</v>
      </c>
      <c r="O106" t="s">
        <v>89</v>
      </c>
      <c r="P106" t="s">
        <v>89</v>
      </c>
      <c r="Q106">
        <v>1</v>
      </c>
      <c r="W106">
        <v>0</v>
      </c>
      <c r="X106">
        <v>184492587</v>
      </c>
      <c r="Y106">
        <v>48.411935</v>
      </c>
      <c r="AA106">
        <v>346.75</v>
      </c>
      <c r="AB106">
        <v>0</v>
      </c>
      <c r="AC106">
        <v>0</v>
      </c>
      <c r="AD106">
        <v>0</v>
      </c>
      <c r="AE106">
        <v>42.63</v>
      </c>
      <c r="AF106">
        <v>0</v>
      </c>
      <c r="AG106">
        <v>0</v>
      </c>
      <c r="AH106">
        <v>0</v>
      </c>
      <c r="AI106">
        <v>6.78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5</v>
      </c>
      <c r="AT106">
        <v>48.411935</v>
      </c>
      <c r="AU106" t="s">
        <v>5</v>
      </c>
      <c r="AV106">
        <v>0</v>
      </c>
      <c r="AW106">
        <v>1</v>
      </c>
      <c r="AX106">
        <v>-1</v>
      </c>
      <c r="AY106">
        <v>0</v>
      </c>
      <c r="AZ106">
        <v>0</v>
      </c>
      <c r="BA106" t="s">
        <v>5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Y106*Source!I47</f>
        <v>25.150000232499998</v>
      </c>
      <c r="CY106">
        <f>AA106</f>
        <v>346.75</v>
      </c>
      <c r="CZ106">
        <f>AE106</f>
        <v>42.63</v>
      </c>
      <c r="DA106">
        <f>AI106</f>
        <v>6.78</v>
      </c>
      <c r="DB106">
        <v>0</v>
      </c>
      <c r="DH106">
        <f>Source!I47*SmtRes!Y106</f>
        <v>25.150000232499998</v>
      </c>
      <c r="DI106">
        <f>AA106</f>
        <v>346.75</v>
      </c>
      <c r="DK106">
        <f>Source!BC47</f>
        <v>6.78</v>
      </c>
      <c r="GP106">
        <v>1</v>
      </c>
      <c r="GQ106">
        <v>-1</v>
      </c>
      <c r="GR106">
        <v>-1</v>
      </c>
    </row>
    <row r="107" spans="1:200" x14ac:dyDescent="0.2">
      <c r="A107">
        <f>ROW(Source!A54)</f>
        <v>54</v>
      </c>
      <c r="B107">
        <v>34763685</v>
      </c>
      <c r="C107">
        <v>34764215</v>
      </c>
      <c r="D107">
        <v>31715651</v>
      </c>
      <c r="E107">
        <v>1</v>
      </c>
      <c r="F107">
        <v>1</v>
      </c>
      <c r="G107">
        <v>1</v>
      </c>
      <c r="H107">
        <v>1</v>
      </c>
      <c r="I107" t="s">
        <v>293</v>
      </c>
      <c r="J107" t="s">
        <v>5</v>
      </c>
      <c r="K107" t="s">
        <v>294</v>
      </c>
      <c r="L107">
        <v>1191</v>
      </c>
      <c r="N107">
        <v>1013</v>
      </c>
      <c r="O107" t="s">
        <v>224</v>
      </c>
      <c r="P107" t="s">
        <v>224</v>
      </c>
      <c r="Q107">
        <v>1</v>
      </c>
      <c r="W107">
        <v>0</v>
      </c>
      <c r="X107">
        <v>1069510174</v>
      </c>
      <c r="Y107">
        <v>207.98</v>
      </c>
      <c r="AA107">
        <v>0</v>
      </c>
      <c r="AB107">
        <v>0</v>
      </c>
      <c r="AC107">
        <v>0</v>
      </c>
      <c r="AD107">
        <v>9.6199999999999992</v>
      </c>
      <c r="AE107">
        <v>0</v>
      </c>
      <c r="AF107">
        <v>0</v>
      </c>
      <c r="AG107">
        <v>0</v>
      </c>
      <c r="AH107">
        <v>9.6199999999999992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5</v>
      </c>
      <c r="AT107">
        <v>207.98</v>
      </c>
      <c r="AU107" t="s">
        <v>5</v>
      </c>
      <c r="AV107">
        <v>1</v>
      </c>
      <c r="AW107">
        <v>2</v>
      </c>
      <c r="AX107">
        <v>34765162</v>
      </c>
      <c r="AY107">
        <v>1</v>
      </c>
      <c r="AZ107">
        <v>0</v>
      </c>
      <c r="BA107">
        <v>125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Y107*Source!I54</f>
        <v>979.02425399999993</v>
      </c>
      <c r="CY107">
        <f>AD107</f>
        <v>9.6199999999999992</v>
      </c>
      <c r="CZ107">
        <f>AH107</f>
        <v>9.6199999999999992</v>
      </c>
      <c r="DA107">
        <f>AL107</f>
        <v>1</v>
      </c>
      <c r="DB107">
        <v>0</v>
      </c>
      <c r="GQ107">
        <v>-1</v>
      </c>
      <c r="GR107">
        <v>-1</v>
      </c>
    </row>
    <row r="108" spans="1:200" x14ac:dyDescent="0.2">
      <c r="A108">
        <f>ROW(Source!A54)</f>
        <v>54</v>
      </c>
      <c r="B108">
        <v>34763685</v>
      </c>
      <c r="C108">
        <v>34764215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225</v>
      </c>
      <c r="J108" t="s">
        <v>5</v>
      </c>
      <c r="K108" t="s">
        <v>226</v>
      </c>
      <c r="L108">
        <v>1191</v>
      </c>
      <c r="N108">
        <v>1013</v>
      </c>
      <c r="O108" t="s">
        <v>224</v>
      </c>
      <c r="P108" t="s">
        <v>224</v>
      </c>
      <c r="Q108">
        <v>1</v>
      </c>
      <c r="W108">
        <v>0</v>
      </c>
      <c r="X108">
        <v>-1417349443</v>
      </c>
      <c r="Y108">
        <v>18.12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5</v>
      </c>
      <c r="AT108">
        <v>18.12</v>
      </c>
      <c r="AU108" t="s">
        <v>5</v>
      </c>
      <c r="AV108">
        <v>2</v>
      </c>
      <c r="AW108">
        <v>2</v>
      </c>
      <c r="AX108">
        <v>34765163</v>
      </c>
      <c r="AY108">
        <v>1</v>
      </c>
      <c r="AZ108">
        <v>0</v>
      </c>
      <c r="BA108">
        <v>126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Y108*Source!I54</f>
        <v>85.296276000000006</v>
      </c>
      <c r="CY108">
        <f>AD108</f>
        <v>0</v>
      </c>
      <c r="CZ108">
        <f>AH108</f>
        <v>0</v>
      </c>
      <c r="DA108">
        <f>AL108</f>
        <v>1</v>
      </c>
      <c r="DB108">
        <v>0</v>
      </c>
      <c r="GQ108">
        <v>-1</v>
      </c>
      <c r="GR108">
        <v>-1</v>
      </c>
    </row>
    <row r="109" spans="1:200" x14ac:dyDescent="0.2">
      <c r="A109">
        <f>ROW(Source!A54)</f>
        <v>54</v>
      </c>
      <c r="B109">
        <v>34763685</v>
      </c>
      <c r="C109">
        <v>34764215</v>
      </c>
      <c r="D109">
        <v>31527045</v>
      </c>
      <c r="E109">
        <v>1</v>
      </c>
      <c r="F109">
        <v>1</v>
      </c>
      <c r="G109">
        <v>1</v>
      </c>
      <c r="H109">
        <v>2</v>
      </c>
      <c r="I109" t="s">
        <v>295</v>
      </c>
      <c r="J109" t="s">
        <v>296</v>
      </c>
      <c r="K109" t="s">
        <v>297</v>
      </c>
      <c r="L109">
        <v>1368</v>
      </c>
      <c r="N109">
        <v>1011</v>
      </c>
      <c r="O109" t="s">
        <v>230</v>
      </c>
      <c r="P109" t="s">
        <v>230</v>
      </c>
      <c r="Q109">
        <v>1</v>
      </c>
      <c r="W109">
        <v>0</v>
      </c>
      <c r="X109">
        <v>-416389642</v>
      </c>
      <c r="Y109">
        <v>18.12</v>
      </c>
      <c r="AA109">
        <v>0</v>
      </c>
      <c r="AB109">
        <v>29.46</v>
      </c>
      <c r="AC109">
        <v>11.6</v>
      </c>
      <c r="AD109">
        <v>0</v>
      </c>
      <c r="AE109">
        <v>0</v>
      </c>
      <c r="AF109">
        <v>29.46</v>
      </c>
      <c r="AG109">
        <v>11.6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5</v>
      </c>
      <c r="AT109">
        <v>18.12</v>
      </c>
      <c r="AU109" t="s">
        <v>5</v>
      </c>
      <c r="AV109">
        <v>0</v>
      </c>
      <c r="AW109">
        <v>2</v>
      </c>
      <c r="AX109">
        <v>34765164</v>
      </c>
      <c r="AY109">
        <v>1</v>
      </c>
      <c r="AZ109">
        <v>0</v>
      </c>
      <c r="BA109">
        <v>127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Y109*Source!I54</f>
        <v>85.296276000000006</v>
      </c>
      <c r="CY109">
        <f>AB109</f>
        <v>29.46</v>
      </c>
      <c r="CZ109">
        <f>AF109</f>
        <v>29.46</v>
      </c>
      <c r="DA109">
        <f>AJ109</f>
        <v>1</v>
      </c>
      <c r="DB109">
        <v>0</v>
      </c>
      <c r="GQ109">
        <v>-1</v>
      </c>
      <c r="GR109">
        <v>-1</v>
      </c>
    </row>
    <row r="110" spans="1:200" x14ac:dyDescent="0.2">
      <c r="A110">
        <f>ROW(Source!A54)</f>
        <v>54</v>
      </c>
      <c r="B110">
        <v>34763685</v>
      </c>
      <c r="C110">
        <v>34764215</v>
      </c>
      <c r="D110">
        <v>0</v>
      </c>
      <c r="E110">
        <v>0</v>
      </c>
      <c r="F110">
        <v>1</v>
      </c>
      <c r="G110">
        <v>1</v>
      </c>
      <c r="H110">
        <v>3</v>
      </c>
      <c r="I110" t="s">
        <v>42</v>
      </c>
      <c r="J110" t="s">
        <v>5</v>
      </c>
      <c r="K110" t="s">
        <v>99</v>
      </c>
      <c r="L110">
        <v>1327</v>
      </c>
      <c r="N110">
        <v>1005</v>
      </c>
      <c r="O110" t="s">
        <v>85</v>
      </c>
      <c r="P110" t="s">
        <v>85</v>
      </c>
      <c r="Q110">
        <v>1</v>
      </c>
      <c r="W110">
        <v>0</v>
      </c>
      <c r="X110">
        <v>-2010186265</v>
      </c>
      <c r="Y110">
        <v>103</v>
      </c>
      <c r="AA110">
        <v>92.18</v>
      </c>
      <c r="AB110">
        <v>0</v>
      </c>
      <c r="AC110">
        <v>0</v>
      </c>
      <c r="AD110">
        <v>0</v>
      </c>
      <c r="AE110">
        <v>92.18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S110" t="s">
        <v>5</v>
      </c>
      <c r="AT110">
        <v>103</v>
      </c>
      <c r="AU110" t="s">
        <v>5</v>
      </c>
      <c r="AV110">
        <v>0</v>
      </c>
      <c r="AW110">
        <v>1</v>
      </c>
      <c r="AX110">
        <v>-1</v>
      </c>
      <c r="AY110">
        <v>0</v>
      </c>
      <c r="AZ110">
        <v>0</v>
      </c>
      <c r="BA110" t="s">
        <v>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Y110*Source!I54</f>
        <v>484.8519</v>
      </c>
      <c r="CY110">
        <f>AA110</f>
        <v>92.18</v>
      </c>
      <c r="CZ110">
        <f>AE110</f>
        <v>92.18</v>
      </c>
      <c r="DA110">
        <f>AI110</f>
        <v>1</v>
      </c>
      <c r="DB110">
        <v>0</v>
      </c>
      <c r="DH110">
        <f>Source!I54*SmtRes!Y110</f>
        <v>484.8519</v>
      </c>
      <c r="DI110">
        <f>AA110</f>
        <v>92.18</v>
      </c>
      <c r="DK110">
        <f>Source!BC54</f>
        <v>1</v>
      </c>
      <c r="GP110">
        <v>1</v>
      </c>
      <c r="GQ110">
        <v>-1</v>
      </c>
      <c r="GR110">
        <v>-1</v>
      </c>
    </row>
    <row r="111" spans="1:200" x14ac:dyDescent="0.2">
      <c r="A111">
        <f>ROW(Source!A54)</f>
        <v>54</v>
      </c>
      <c r="B111">
        <v>34763685</v>
      </c>
      <c r="C111">
        <v>34764215</v>
      </c>
      <c r="D111">
        <v>0</v>
      </c>
      <c r="E111">
        <v>0</v>
      </c>
      <c r="F111">
        <v>1</v>
      </c>
      <c r="G111">
        <v>1</v>
      </c>
      <c r="H111">
        <v>3</v>
      </c>
      <c r="I111" t="s">
        <v>42</v>
      </c>
      <c r="J111" t="s">
        <v>5</v>
      </c>
      <c r="K111" t="s">
        <v>102</v>
      </c>
      <c r="L111">
        <v>1327</v>
      </c>
      <c r="N111">
        <v>1005</v>
      </c>
      <c r="O111" t="s">
        <v>85</v>
      </c>
      <c r="P111" t="s">
        <v>85</v>
      </c>
      <c r="Q111">
        <v>1</v>
      </c>
      <c r="W111">
        <v>0</v>
      </c>
      <c r="X111">
        <v>1965070701</v>
      </c>
      <c r="Y111">
        <v>103</v>
      </c>
      <c r="AA111">
        <v>14.23</v>
      </c>
      <c r="AB111">
        <v>0</v>
      </c>
      <c r="AC111">
        <v>0</v>
      </c>
      <c r="AD111">
        <v>0</v>
      </c>
      <c r="AE111">
        <v>14.23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5</v>
      </c>
      <c r="AT111">
        <v>103</v>
      </c>
      <c r="AU111" t="s">
        <v>5</v>
      </c>
      <c r="AV111">
        <v>0</v>
      </c>
      <c r="AW111">
        <v>1</v>
      </c>
      <c r="AX111">
        <v>-1</v>
      </c>
      <c r="AY111">
        <v>0</v>
      </c>
      <c r="AZ111">
        <v>0</v>
      </c>
      <c r="BA111" t="s">
        <v>5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Y111*Source!I54</f>
        <v>484.8519</v>
      </c>
      <c r="CY111">
        <f>AA111</f>
        <v>14.23</v>
      </c>
      <c r="CZ111">
        <f>AE111</f>
        <v>14.23</v>
      </c>
      <c r="DA111">
        <f>AI111</f>
        <v>1</v>
      </c>
      <c r="DB111">
        <v>0</v>
      </c>
      <c r="DH111">
        <f>Source!I54*SmtRes!Y111</f>
        <v>484.8519</v>
      </c>
      <c r="DI111">
        <f>AA111</f>
        <v>14.23</v>
      </c>
      <c r="DK111">
        <f>Source!BC54</f>
        <v>1</v>
      </c>
      <c r="GP111">
        <v>1</v>
      </c>
      <c r="GQ111">
        <v>-1</v>
      </c>
      <c r="GR111">
        <v>-1</v>
      </c>
    </row>
    <row r="112" spans="1:200" x14ac:dyDescent="0.2">
      <c r="A112">
        <f>ROW(Source!A54)</f>
        <v>54</v>
      </c>
      <c r="B112">
        <v>34763685</v>
      </c>
      <c r="C112">
        <v>34764215</v>
      </c>
      <c r="D112">
        <v>0</v>
      </c>
      <c r="E112">
        <v>0</v>
      </c>
      <c r="F112">
        <v>1</v>
      </c>
      <c r="G112">
        <v>1</v>
      </c>
      <c r="H112">
        <v>3</v>
      </c>
      <c r="I112" t="s">
        <v>42</v>
      </c>
      <c r="J112" t="s">
        <v>5</v>
      </c>
      <c r="K112" t="s">
        <v>105</v>
      </c>
      <c r="L112">
        <v>1327</v>
      </c>
      <c r="N112">
        <v>1005</v>
      </c>
      <c r="O112" t="s">
        <v>85</v>
      </c>
      <c r="P112" t="s">
        <v>85</v>
      </c>
      <c r="Q112">
        <v>1</v>
      </c>
      <c r="W112">
        <v>0</v>
      </c>
      <c r="X112">
        <v>1416793203</v>
      </c>
      <c r="Y112">
        <v>100</v>
      </c>
      <c r="AA112">
        <v>32.15</v>
      </c>
      <c r="AB112">
        <v>0</v>
      </c>
      <c r="AC112">
        <v>0</v>
      </c>
      <c r="AD112">
        <v>0</v>
      </c>
      <c r="AE112">
        <v>32.15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5</v>
      </c>
      <c r="AT112">
        <v>100</v>
      </c>
      <c r="AU112" t="s">
        <v>5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5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Y112*Source!I54</f>
        <v>470.73</v>
      </c>
      <c r="CY112">
        <f>AA112</f>
        <v>32.15</v>
      </c>
      <c r="CZ112">
        <f>AE112</f>
        <v>32.15</v>
      </c>
      <c r="DA112">
        <f>AI112</f>
        <v>1</v>
      </c>
      <c r="DB112">
        <v>0</v>
      </c>
      <c r="DH112">
        <f>Source!I54*SmtRes!Y112</f>
        <v>470.73</v>
      </c>
      <c r="DI112">
        <f>AA112</f>
        <v>32.15</v>
      </c>
      <c r="DK112">
        <f>Source!BC54</f>
        <v>1</v>
      </c>
      <c r="GP112">
        <v>1</v>
      </c>
      <c r="GQ112">
        <v>-1</v>
      </c>
      <c r="GR112">
        <v>-1</v>
      </c>
    </row>
    <row r="113" spans="1:200" x14ac:dyDescent="0.2">
      <c r="A113">
        <f>ROW(Source!A55)</f>
        <v>55</v>
      </c>
      <c r="B113">
        <v>34763707</v>
      </c>
      <c r="C113">
        <v>34764215</v>
      </c>
      <c r="D113">
        <v>31715651</v>
      </c>
      <c r="E113">
        <v>1</v>
      </c>
      <c r="F113">
        <v>1</v>
      </c>
      <c r="G113">
        <v>1</v>
      </c>
      <c r="H113">
        <v>1</v>
      </c>
      <c r="I113" t="s">
        <v>293</v>
      </c>
      <c r="J113" t="s">
        <v>5</v>
      </c>
      <c r="K113" t="s">
        <v>294</v>
      </c>
      <c r="L113">
        <v>1191</v>
      </c>
      <c r="N113">
        <v>1013</v>
      </c>
      <c r="O113" t="s">
        <v>224</v>
      </c>
      <c r="P113" t="s">
        <v>224</v>
      </c>
      <c r="Q113">
        <v>1</v>
      </c>
      <c r="W113">
        <v>0</v>
      </c>
      <c r="X113">
        <v>1069510174</v>
      </c>
      <c r="Y113">
        <v>207.98</v>
      </c>
      <c r="AA113">
        <v>0</v>
      </c>
      <c r="AB113">
        <v>0</v>
      </c>
      <c r="AC113">
        <v>0</v>
      </c>
      <c r="AD113">
        <v>65.22</v>
      </c>
      <c r="AE113">
        <v>0</v>
      </c>
      <c r="AF113">
        <v>0</v>
      </c>
      <c r="AG113">
        <v>0</v>
      </c>
      <c r="AH113">
        <v>9.6199999999999992</v>
      </c>
      <c r="AI113">
        <v>1</v>
      </c>
      <c r="AJ113">
        <v>1</v>
      </c>
      <c r="AK113">
        <v>1</v>
      </c>
      <c r="AL113">
        <v>6.78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5</v>
      </c>
      <c r="AT113">
        <v>207.98</v>
      </c>
      <c r="AU113" t="s">
        <v>5</v>
      </c>
      <c r="AV113">
        <v>1</v>
      </c>
      <c r="AW113">
        <v>2</v>
      </c>
      <c r="AX113">
        <v>34765162</v>
      </c>
      <c r="AY113">
        <v>1</v>
      </c>
      <c r="AZ113">
        <v>0</v>
      </c>
      <c r="BA113">
        <v>133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Y113*Source!I55</f>
        <v>979.02425399999993</v>
      </c>
      <c r="CY113">
        <f>AD113</f>
        <v>65.22</v>
      </c>
      <c r="CZ113">
        <f>AH113</f>
        <v>9.6199999999999992</v>
      </c>
      <c r="DA113">
        <f>AL113</f>
        <v>6.78</v>
      </c>
      <c r="DB113">
        <v>0</v>
      </c>
      <c r="GQ113">
        <v>-1</v>
      </c>
      <c r="GR113">
        <v>-1</v>
      </c>
    </row>
    <row r="114" spans="1:200" x14ac:dyDescent="0.2">
      <c r="A114">
        <f>ROW(Source!A55)</f>
        <v>55</v>
      </c>
      <c r="B114">
        <v>34763707</v>
      </c>
      <c r="C114">
        <v>34764215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225</v>
      </c>
      <c r="J114" t="s">
        <v>5</v>
      </c>
      <c r="K114" t="s">
        <v>226</v>
      </c>
      <c r="L114">
        <v>1191</v>
      </c>
      <c r="N114">
        <v>1013</v>
      </c>
      <c r="O114" t="s">
        <v>224</v>
      </c>
      <c r="P114" t="s">
        <v>224</v>
      </c>
      <c r="Q114">
        <v>1</v>
      </c>
      <c r="W114">
        <v>0</v>
      </c>
      <c r="X114">
        <v>-1417349443</v>
      </c>
      <c r="Y114">
        <v>18.12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6.78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5</v>
      </c>
      <c r="AT114">
        <v>18.12</v>
      </c>
      <c r="AU114" t="s">
        <v>5</v>
      </c>
      <c r="AV114">
        <v>2</v>
      </c>
      <c r="AW114">
        <v>2</v>
      </c>
      <c r="AX114">
        <v>34765163</v>
      </c>
      <c r="AY114">
        <v>1</v>
      </c>
      <c r="AZ114">
        <v>0</v>
      </c>
      <c r="BA114">
        <v>134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Y114*Source!I55</f>
        <v>85.296276000000006</v>
      </c>
      <c r="CY114">
        <f>AD114</f>
        <v>0</v>
      </c>
      <c r="CZ114">
        <f>AH114</f>
        <v>0</v>
      </c>
      <c r="DA114">
        <f>AL114</f>
        <v>1</v>
      </c>
      <c r="DB114">
        <v>0</v>
      </c>
      <c r="GQ114">
        <v>-1</v>
      </c>
      <c r="GR114">
        <v>-1</v>
      </c>
    </row>
    <row r="115" spans="1:200" x14ac:dyDescent="0.2">
      <c r="A115">
        <f>ROW(Source!A55)</f>
        <v>55</v>
      </c>
      <c r="B115">
        <v>34763707</v>
      </c>
      <c r="C115">
        <v>34764215</v>
      </c>
      <c r="D115">
        <v>31527045</v>
      </c>
      <c r="E115">
        <v>1</v>
      </c>
      <c r="F115">
        <v>1</v>
      </c>
      <c r="G115">
        <v>1</v>
      </c>
      <c r="H115">
        <v>2</v>
      </c>
      <c r="I115" t="s">
        <v>295</v>
      </c>
      <c r="J115" t="s">
        <v>296</v>
      </c>
      <c r="K115" t="s">
        <v>297</v>
      </c>
      <c r="L115">
        <v>1368</v>
      </c>
      <c r="N115">
        <v>1011</v>
      </c>
      <c r="O115" t="s">
        <v>230</v>
      </c>
      <c r="P115" t="s">
        <v>230</v>
      </c>
      <c r="Q115">
        <v>1</v>
      </c>
      <c r="W115">
        <v>0</v>
      </c>
      <c r="X115">
        <v>-416389642</v>
      </c>
      <c r="Y115">
        <v>18.12</v>
      </c>
      <c r="AA115">
        <v>0</v>
      </c>
      <c r="AB115">
        <v>199.74</v>
      </c>
      <c r="AC115">
        <v>11.6</v>
      </c>
      <c r="AD115">
        <v>0</v>
      </c>
      <c r="AE115">
        <v>0</v>
      </c>
      <c r="AF115">
        <v>29.46</v>
      </c>
      <c r="AG115">
        <v>11.6</v>
      </c>
      <c r="AH115">
        <v>0</v>
      </c>
      <c r="AI115">
        <v>1</v>
      </c>
      <c r="AJ115">
        <v>6.78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5</v>
      </c>
      <c r="AT115">
        <v>18.12</v>
      </c>
      <c r="AU115" t="s">
        <v>5</v>
      </c>
      <c r="AV115">
        <v>0</v>
      </c>
      <c r="AW115">
        <v>2</v>
      </c>
      <c r="AX115">
        <v>34765164</v>
      </c>
      <c r="AY115">
        <v>1</v>
      </c>
      <c r="AZ115">
        <v>0</v>
      </c>
      <c r="BA115">
        <v>135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85.296276000000006</v>
      </c>
      <c r="CY115">
        <f>AB115</f>
        <v>199.74</v>
      </c>
      <c r="CZ115">
        <f>AF115</f>
        <v>29.46</v>
      </c>
      <c r="DA115">
        <f>AJ115</f>
        <v>6.78</v>
      </c>
      <c r="DB115">
        <v>0</v>
      </c>
      <c r="GQ115">
        <v>-1</v>
      </c>
      <c r="GR115">
        <v>-1</v>
      </c>
    </row>
    <row r="116" spans="1:200" x14ac:dyDescent="0.2">
      <c r="A116">
        <f>ROW(Source!A55)</f>
        <v>55</v>
      </c>
      <c r="B116">
        <v>34763707</v>
      </c>
      <c r="C116">
        <v>34764215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42</v>
      </c>
      <c r="J116" t="s">
        <v>5</v>
      </c>
      <c r="K116" t="s">
        <v>99</v>
      </c>
      <c r="L116">
        <v>1327</v>
      </c>
      <c r="N116">
        <v>1005</v>
      </c>
      <c r="O116" t="s">
        <v>85</v>
      </c>
      <c r="P116" t="s">
        <v>85</v>
      </c>
      <c r="Q116">
        <v>1</v>
      </c>
      <c r="W116">
        <v>0</v>
      </c>
      <c r="X116">
        <v>-2010186265</v>
      </c>
      <c r="Y116">
        <v>103</v>
      </c>
      <c r="AA116">
        <v>750</v>
      </c>
      <c r="AB116">
        <v>0</v>
      </c>
      <c r="AC116">
        <v>0</v>
      </c>
      <c r="AD116">
        <v>0</v>
      </c>
      <c r="AE116">
        <v>92.18</v>
      </c>
      <c r="AF116">
        <v>0</v>
      </c>
      <c r="AG116">
        <v>0</v>
      </c>
      <c r="AH116">
        <v>0</v>
      </c>
      <c r="AI116">
        <v>6.78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5</v>
      </c>
      <c r="AT116">
        <v>103</v>
      </c>
      <c r="AU116" t="s">
        <v>5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484.8519</v>
      </c>
      <c r="CY116">
        <f>AA116</f>
        <v>750</v>
      </c>
      <c r="CZ116">
        <f>AE116</f>
        <v>92.18</v>
      </c>
      <c r="DA116">
        <f>AI116</f>
        <v>6.78</v>
      </c>
      <c r="DB116">
        <v>0</v>
      </c>
      <c r="DH116">
        <f>Source!I55*SmtRes!Y116</f>
        <v>484.8519</v>
      </c>
      <c r="DI116">
        <f>AA116</f>
        <v>750</v>
      </c>
      <c r="DK116">
        <f>Source!BC55</f>
        <v>6.78</v>
      </c>
      <c r="GP116">
        <v>1</v>
      </c>
      <c r="GQ116">
        <v>-1</v>
      </c>
      <c r="GR116">
        <v>-1</v>
      </c>
    </row>
    <row r="117" spans="1:200" x14ac:dyDescent="0.2">
      <c r="A117">
        <f>ROW(Source!A55)</f>
        <v>55</v>
      </c>
      <c r="B117">
        <v>34763707</v>
      </c>
      <c r="C117">
        <v>34764215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42</v>
      </c>
      <c r="J117" t="s">
        <v>5</v>
      </c>
      <c r="K117" t="s">
        <v>102</v>
      </c>
      <c r="L117">
        <v>1327</v>
      </c>
      <c r="N117">
        <v>1005</v>
      </c>
      <c r="O117" t="s">
        <v>85</v>
      </c>
      <c r="P117" t="s">
        <v>85</v>
      </c>
      <c r="Q117">
        <v>1</v>
      </c>
      <c r="W117">
        <v>0</v>
      </c>
      <c r="X117">
        <v>1965070701</v>
      </c>
      <c r="Y117">
        <v>103</v>
      </c>
      <c r="AA117">
        <v>115.8</v>
      </c>
      <c r="AB117">
        <v>0</v>
      </c>
      <c r="AC117">
        <v>0</v>
      </c>
      <c r="AD117">
        <v>0</v>
      </c>
      <c r="AE117">
        <v>14.23</v>
      </c>
      <c r="AF117">
        <v>0</v>
      </c>
      <c r="AG117">
        <v>0</v>
      </c>
      <c r="AH117">
        <v>0</v>
      </c>
      <c r="AI117">
        <v>6.78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5</v>
      </c>
      <c r="AT117">
        <v>103</v>
      </c>
      <c r="AU117" t="s">
        <v>5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5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Y117*Source!I55</f>
        <v>484.8519</v>
      </c>
      <c r="CY117">
        <f>AA117</f>
        <v>115.8</v>
      </c>
      <c r="CZ117">
        <f>AE117</f>
        <v>14.23</v>
      </c>
      <c r="DA117">
        <f>AI117</f>
        <v>6.78</v>
      </c>
      <c r="DB117">
        <v>0</v>
      </c>
      <c r="DH117">
        <f>Source!I55*SmtRes!Y117</f>
        <v>484.8519</v>
      </c>
      <c r="DI117">
        <f>AA117</f>
        <v>115.8</v>
      </c>
      <c r="DK117">
        <f>Source!BC55</f>
        <v>6.78</v>
      </c>
      <c r="GP117">
        <v>1</v>
      </c>
      <c r="GQ117">
        <v>-1</v>
      </c>
      <c r="GR117">
        <v>-1</v>
      </c>
    </row>
    <row r="118" spans="1:200" x14ac:dyDescent="0.2">
      <c r="A118">
        <f>ROW(Source!A55)</f>
        <v>55</v>
      </c>
      <c r="B118">
        <v>34763707</v>
      </c>
      <c r="C118">
        <v>34764215</v>
      </c>
      <c r="D118">
        <v>0</v>
      </c>
      <c r="E118">
        <v>0</v>
      </c>
      <c r="F118">
        <v>1</v>
      </c>
      <c r="G118">
        <v>1</v>
      </c>
      <c r="H118">
        <v>3</v>
      </c>
      <c r="I118" t="s">
        <v>42</v>
      </c>
      <c r="J118" t="s">
        <v>5</v>
      </c>
      <c r="K118" t="s">
        <v>105</v>
      </c>
      <c r="L118">
        <v>1327</v>
      </c>
      <c r="N118">
        <v>1005</v>
      </c>
      <c r="O118" t="s">
        <v>85</v>
      </c>
      <c r="P118" t="s">
        <v>85</v>
      </c>
      <c r="Q118">
        <v>1</v>
      </c>
      <c r="W118">
        <v>0</v>
      </c>
      <c r="X118">
        <v>1416793203</v>
      </c>
      <c r="Y118">
        <v>100</v>
      </c>
      <c r="AA118">
        <v>261.58999999999997</v>
      </c>
      <c r="AB118">
        <v>0</v>
      </c>
      <c r="AC118">
        <v>0</v>
      </c>
      <c r="AD118">
        <v>0</v>
      </c>
      <c r="AE118">
        <v>32.15</v>
      </c>
      <c r="AF118">
        <v>0</v>
      </c>
      <c r="AG118">
        <v>0</v>
      </c>
      <c r="AH118">
        <v>0</v>
      </c>
      <c r="AI118">
        <v>6.78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 t="s">
        <v>5</v>
      </c>
      <c r="AT118">
        <v>100</v>
      </c>
      <c r="AU118" t="s">
        <v>5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5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Y118*Source!I55</f>
        <v>470.73</v>
      </c>
      <c r="CY118">
        <f>AA118</f>
        <v>261.58999999999997</v>
      </c>
      <c r="CZ118">
        <f>AE118</f>
        <v>32.15</v>
      </c>
      <c r="DA118">
        <f>AI118</f>
        <v>6.78</v>
      </c>
      <c r="DB118">
        <v>0</v>
      </c>
      <c r="DH118">
        <f>Source!I55*SmtRes!Y118</f>
        <v>470.73</v>
      </c>
      <c r="DI118">
        <f>AA118</f>
        <v>261.58999999999997</v>
      </c>
      <c r="DK118">
        <f>Source!BC55</f>
        <v>6.78</v>
      </c>
      <c r="GP118">
        <v>1</v>
      </c>
      <c r="GQ118">
        <v>-1</v>
      </c>
      <c r="GR118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34765669</v>
      </c>
      <c r="C1">
        <v>34765668</v>
      </c>
      <c r="D1">
        <v>31714194</v>
      </c>
      <c r="E1">
        <v>1</v>
      </c>
      <c r="F1">
        <v>1</v>
      </c>
      <c r="G1">
        <v>1</v>
      </c>
      <c r="H1">
        <v>1</v>
      </c>
      <c r="I1" t="s">
        <v>222</v>
      </c>
      <c r="J1" t="s">
        <v>5</v>
      </c>
      <c r="K1" t="s">
        <v>223</v>
      </c>
      <c r="L1">
        <v>1191</v>
      </c>
      <c r="N1">
        <v>1013</v>
      </c>
      <c r="O1" t="s">
        <v>224</v>
      </c>
      <c r="P1" t="s">
        <v>224</v>
      </c>
      <c r="Q1">
        <v>1</v>
      </c>
      <c r="X1">
        <v>43.5</v>
      </c>
      <c r="Y1">
        <v>0</v>
      </c>
      <c r="Z1">
        <v>0</v>
      </c>
      <c r="AA1">
        <v>0</v>
      </c>
      <c r="AB1">
        <v>8.64</v>
      </c>
      <c r="AC1">
        <v>0</v>
      </c>
      <c r="AD1">
        <v>1</v>
      </c>
      <c r="AE1">
        <v>1</v>
      </c>
      <c r="AF1" t="s">
        <v>5</v>
      </c>
      <c r="AG1">
        <v>43.5</v>
      </c>
      <c r="AH1">
        <v>2</v>
      </c>
      <c r="AI1">
        <v>34765669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34765670</v>
      </c>
      <c r="C2">
        <v>34765668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225</v>
      </c>
      <c r="J2" t="s">
        <v>5</v>
      </c>
      <c r="K2" t="s">
        <v>226</v>
      </c>
      <c r="L2">
        <v>1191</v>
      </c>
      <c r="N2">
        <v>1013</v>
      </c>
      <c r="O2" t="s">
        <v>224</v>
      </c>
      <c r="P2" t="s">
        <v>224</v>
      </c>
      <c r="Q2">
        <v>1</v>
      </c>
      <c r="X2">
        <v>7.0000000000000007E-2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5</v>
      </c>
      <c r="AG2">
        <v>7.0000000000000007E-2</v>
      </c>
      <c r="AH2">
        <v>2</v>
      </c>
      <c r="AI2">
        <v>34765670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34765671</v>
      </c>
      <c r="C3">
        <v>34765668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227</v>
      </c>
      <c r="J3" t="s">
        <v>228</v>
      </c>
      <c r="K3" t="s">
        <v>229</v>
      </c>
      <c r="L3">
        <v>1368</v>
      </c>
      <c r="N3">
        <v>1011</v>
      </c>
      <c r="O3" t="s">
        <v>230</v>
      </c>
      <c r="P3" t="s">
        <v>230</v>
      </c>
      <c r="Q3">
        <v>1</v>
      </c>
      <c r="X3">
        <v>7.0000000000000007E-2</v>
      </c>
      <c r="Y3">
        <v>0</v>
      </c>
      <c r="Z3">
        <v>65.709999999999994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5</v>
      </c>
      <c r="AG3">
        <v>7.0000000000000007E-2</v>
      </c>
      <c r="AH3">
        <v>2</v>
      </c>
      <c r="AI3">
        <v>34765671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34765672</v>
      </c>
      <c r="C4">
        <v>34765668</v>
      </c>
      <c r="D4">
        <v>31441385</v>
      </c>
      <c r="E4">
        <v>17</v>
      </c>
      <c r="F4">
        <v>1</v>
      </c>
      <c r="G4">
        <v>1</v>
      </c>
      <c r="H4">
        <v>3</v>
      </c>
      <c r="I4" t="s">
        <v>298</v>
      </c>
      <c r="J4" t="s">
        <v>5</v>
      </c>
      <c r="K4" t="s">
        <v>299</v>
      </c>
      <c r="L4">
        <v>1339</v>
      </c>
      <c r="N4">
        <v>1007</v>
      </c>
      <c r="O4" t="s">
        <v>242</v>
      </c>
      <c r="P4" t="s">
        <v>242</v>
      </c>
      <c r="Q4">
        <v>1</v>
      </c>
      <c r="X4">
        <v>8.9999999999999993E-3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5</v>
      </c>
      <c r="AG4">
        <v>8.9999999999999993E-3</v>
      </c>
      <c r="AH4">
        <v>3</v>
      </c>
      <c r="AI4">
        <v>-1</v>
      </c>
      <c r="AJ4" t="s">
        <v>5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34765673</v>
      </c>
      <c r="C5">
        <v>34765668</v>
      </c>
      <c r="D5">
        <v>31441386</v>
      </c>
      <c r="E5">
        <v>17</v>
      </c>
      <c r="F5">
        <v>1</v>
      </c>
      <c r="G5">
        <v>1</v>
      </c>
      <c r="H5">
        <v>3</v>
      </c>
      <c r="I5" t="s">
        <v>298</v>
      </c>
      <c r="J5" t="s">
        <v>5</v>
      </c>
      <c r="K5" t="s">
        <v>300</v>
      </c>
      <c r="L5">
        <v>1348</v>
      </c>
      <c r="N5">
        <v>1009</v>
      </c>
      <c r="O5" t="s">
        <v>44</v>
      </c>
      <c r="P5" t="s">
        <v>44</v>
      </c>
      <c r="Q5">
        <v>1000</v>
      </c>
      <c r="X5">
        <v>3.5000000000000003E-2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 t="s">
        <v>5</v>
      </c>
      <c r="AG5">
        <v>3.5000000000000003E-2</v>
      </c>
      <c r="AH5">
        <v>3</v>
      </c>
      <c r="AI5">
        <v>-1</v>
      </c>
      <c r="AJ5" t="s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34765674</v>
      </c>
      <c r="C6">
        <v>34765668</v>
      </c>
      <c r="D6">
        <v>31476345</v>
      </c>
      <c r="E6">
        <v>1</v>
      </c>
      <c r="F6">
        <v>1</v>
      </c>
      <c r="G6">
        <v>1</v>
      </c>
      <c r="H6">
        <v>3</v>
      </c>
      <c r="I6" t="s">
        <v>231</v>
      </c>
      <c r="J6" t="s">
        <v>232</v>
      </c>
      <c r="K6" t="s">
        <v>233</v>
      </c>
      <c r="L6">
        <v>1327</v>
      </c>
      <c r="N6">
        <v>1005</v>
      </c>
      <c r="O6" t="s">
        <v>85</v>
      </c>
      <c r="P6" t="s">
        <v>85</v>
      </c>
      <c r="Q6">
        <v>1</v>
      </c>
      <c r="X6">
        <v>3.4</v>
      </c>
      <c r="Y6">
        <v>35.22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5</v>
      </c>
      <c r="AG6">
        <v>3.4</v>
      </c>
      <c r="AH6">
        <v>2</v>
      </c>
      <c r="AI6">
        <v>34765674</v>
      </c>
      <c r="AJ6">
        <v>4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34765669</v>
      </c>
      <c r="C7">
        <v>34765668</v>
      </c>
      <c r="D7">
        <v>31714194</v>
      </c>
      <c r="E7">
        <v>1</v>
      </c>
      <c r="F7">
        <v>1</v>
      </c>
      <c r="G7">
        <v>1</v>
      </c>
      <c r="H7">
        <v>1</v>
      </c>
      <c r="I7" t="s">
        <v>222</v>
      </c>
      <c r="J7" t="s">
        <v>5</v>
      </c>
      <c r="K7" t="s">
        <v>223</v>
      </c>
      <c r="L7">
        <v>1191</v>
      </c>
      <c r="N7">
        <v>1013</v>
      </c>
      <c r="O7" t="s">
        <v>224</v>
      </c>
      <c r="P7" t="s">
        <v>224</v>
      </c>
      <c r="Q7">
        <v>1</v>
      </c>
      <c r="X7">
        <v>43.5</v>
      </c>
      <c r="Y7">
        <v>0</v>
      </c>
      <c r="Z7">
        <v>0</v>
      </c>
      <c r="AA7">
        <v>0</v>
      </c>
      <c r="AB7">
        <v>8.64</v>
      </c>
      <c r="AC7">
        <v>0</v>
      </c>
      <c r="AD7">
        <v>1</v>
      </c>
      <c r="AE7">
        <v>1</v>
      </c>
      <c r="AF7" t="s">
        <v>5</v>
      </c>
      <c r="AG7">
        <v>43.5</v>
      </c>
      <c r="AH7">
        <v>2</v>
      </c>
      <c r="AI7">
        <v>34765669</v>
      </c>
      <c r="AJ7">
        <v>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34765670</v>
      </c>
      <c r="C8">
        <v>34765668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225</v>
      </c>
      <c r="J8" t="s">
        <v>5</v>
      </c>
      <c r="K8" t="s">
        <v>226</v>
      </c>
      <c r="L8">
        <v>1191</v>
      </c>
      <c r="N8">
        <v>1013</v>
      </c>
      <c r="O8" t="s">
        <v>224</v>
      </c>
      <c r="P8" t="s">
        <v>224</v>
      </c>
      <c r="Q8">
        <v>1</v>
      </c>
      <c r="X8">
        <v>7.0000000000000007E-2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5</v>
      </c>
      <c r="AG8">
        <v>7.0000000000000007E-2</v>
      </c>
      <c r="AH8">
        <v>2</v>
      </c>
      <c r="AI8">
        <v>34765670</v>
      </c>
      <c r="AJ8">
        <v>6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34765671</v>
      </c>
      <c r="C9">
        <v>34765668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227</v>
      </c>
      <c r="J9" t="s">
        <v>228</v>
      </c>
      <c r="K9" t="s">
        <v>229</v>
      </c>
      <c r="L9">
        <v>1368</v>
      </c>
      <c r="N9">
        <v>1011</v>
      </c>
      <c r="O9" t="s">
        <v>230</v>
      </c>
      <c r="P9" t="s">
        <v>230</v>
      </c>
      <c r="Q9">
        <v>1</v>
      </c>
      <c r="X9">
        <v>7.0000000000000007E-2</v>
      </c>
      <c r="Y9">
        <v>0</v>
      </c>
      <c r="Z9">
        <v>65.709999999999994</v>
      </c>
      <c r="AA9">
        <v>11.6</v>
      </c>
      <c r="AB9">
        <v>0</v>
      </c>
      <c r="AC9">
        <v>0</v>
      </c>
      <c r="AD9">
        <v>1</v>
      </c>
      <c r="AE9">
        <v>0</v>
      </c>
      <c r="AF9" t="s">
        <v>5</v>
      </c>
      <c r="AG9">
        <v>7.0000000000000007E-2</v>
      </c>
      <c r="AH9">
        <v>2</v>
      </c>
      <c r="AI9">
        <v>34765671</v>
      </c>
      <c r="AJ9">
        <v>7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34765672</v>
      </c>
      <c r="C10">
        <v>34765668</v>
      </c>
      <c r="D10">
        <v>31441385</v>
      </c>
      <c r="E10">
        <v>17</v>
      </c>
      <c r="F10">
        <v>1</v>
      </c>
      <c r="G10">
        <v>1</v>
      </c>
      <c r="H10">
        <v>3</v>
      </c>
      <c r="I10" t="s">
        <v>298</v>
      </c>
      <c r="J10" t="s">
        <v>5</v>
      </c>
      <c r="K10" t="s">
        <v>299</v>
      </c>
      <c r="L10">
        <v>1339</v>
      </c>
      <c r="N10">
        <v>1007</v>
      </c>
      <c r="O10" t="s">
        <v>242</v>
      </c>
      <c r="P10" t="s">
        <v>242</v>
      </c>
      <c r="Q10">
        <v>1</v>
      </c>
      <c r="X10">
        <v>8.9999999999999993E-3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5</v>
      </c>
      <c r="AG10">
        <v>8.9999999999999993E-3</v>
      </c>
      <c r="AH10">
        <v>3</v>
      </c>
      <c r="AI10">
        <v>-1</v>
      </c>
      <c r="AJ10" t="s">
        <v>5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34765673</v>
      </c>
      <c r="C11">
        <v>34765668</v>
      </c>
      <c r="D11">
        <v>31441386</v>
      </c>
      <c r="E11">
        <v>17</v>
      </c>
      <c r="F11">
        <v>1</v>
      </c>
      <c r="G11">
        <v>1</v>
      </c>
      <c r="H11">
        <v>3</v>
      </c>
      <c r="I11" t="s">
        <v>298</v>
      </c>
      <c r="J11" t="s">
        <v>5</v>
      </c>
      <c r="K11" t="s">
        <v>300</v>
      </c>
      <c r="L11">
        <v>1348</v>
      </c>
      <c r="N11">
        <v>1009</v>
      </c>
      <c r="O11" t="s">
        <v>44</v>
      </c>
      <c r="P11" t="s">
        <v>44</v>
      </c>
      <c r="Q11">
        <v>1000</v>
      </c>
      <c r="X11">
        <v>3.5000000000000003E-2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5</v>
      </c>
      <c r="AG11">
        <v>3.5000000000000003E-2</v>
      </c>
      <c r="AH11">
        <v>3</v>
      </c>
      <c r="AI11">
        <v>-1</v>
      </c>
      <c r="AJ11" t="s">
        <v>5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34765674</v>
      </c>
      <c r="C12">
        <v>34765668</v>
      </c>
      <c r="D12">
        <v>31476345</v>
      </c>
      <c r="E12">
        <v>1</v>
      </c>
      <c r="F12">
        <v>1</v>
      </c>
      <c r="G12">
        <v>1</v>
      </c>
      <c r="H12">
        <v>3</v>
      </c>
      <c r="I12" t="s">
        <v>231</v>
      </c>
      <c r="J12" t="s">
        <v>232</v>
      </c>
      <c r="K12" t="s">
        <v>233</v>
      </c>
      <c r="L12">
        <v>1327</v>
      </c>
      <c r="N12">
        <v>1005</v>
      </c>
      <c r="O12" t="s">
        <v>85</v>
      </c>
      <c r="P12" t="s">
        <v>85</v>
      </c>
      <c r="Q12">
        <v>1</v>
      </c>
      <c r="X12">
        <v>3.4</v>
      </c>
      <c r="Y12">
        <v>35.22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5</v>
      </c>
      <c r="AG12">
        <v>3.4</v>
      </c>
      <c r="AH12">
        <v>2</v>
      </c>
      <c r="AI12">
        <v>34765674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34765678</v>
      </c>
      <c r="C13">
        <v>34765677</v>
      </c>
      <c r="D13">
        <v>31709544</v>
      </c>
      <c r="E13">
        <v>1</v>
      </c>
      <c r="F13">
        <v>1</v>
      </c>
      <c r="G13">
        <v>1</v>
      </c>
      <c r="H13">
        <v>1</v>
      </c>
      <c r="I13" t="s">
        <v>234</v>
      </c>
      <c r="J13" t="s">
        <v>5</v>
      </c>
      <c r="K13" t="s">
        <v>235</v>
      </c>
      <c r="L13">
        <v>1191</v>
      </c>
      <c r="N13">
        <v>1013</v>
      </c>
      <c r="O13" t="s">
        <v>224</v>
      </c>
      <c r="P13" t="s">
        <v>224</v>
      </c>
      <c r="Q13">
        <v>1</v>
      </c>
      <c r="X13">
        <v>318.47000000000003</v>
      </c>
      <c r="Y13">
        <v>0</v>
      </c>
      <c r="Z13">
        <v>0</v>
      </c>
      <c r="AA13">
        <v>0</v>
      </c>
      <c r="AB13">
        <v>9.07</v>
      </c>
      <c r="AC13">
        <v>0</v>
      </c>
      <c r="AD13">
        <v>1</v>
      </c>
      <c r="AE13">
        <v>1</v>
      </c>
      <c r="AF13" t="s">
        <v>5</v>
      </c>
      <c r="AG13">
        <v>318.47000000000003</v>
      </c>
      <c r="AH13">
        <v>2</v>
      </c>
      <c r="AI13">
        <v>34765678</v>
      </c>
      <c r="AJ13">
        <v>9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ROW(Source!A26)</f>
        <v>26</v>
      </c>
      <c r="B14">
        <v>34765679</v>
      </c>
      <c r="C14">
        <v>34765677</v>
      </c>
      <c r="D14">
        <v>31526951</v>
      </c>
      <c r="E14">
        <v>1</v>
      </c>
      <c r="F14">
        <v>1</v>
      </c>
      <c r="G14">
        <v>1</v>
      </c>
      <c r="H14">
        <v>2</v>
      </c>
      <c r="I14" t="s">
        <v>236</v>
      </c>
      <c r="J14" t="s">
        <v>237</v>
      </c>
      <c r="K14" t="s">
        <v>238</v>
      </c>
      <c r="L14">
        <v>1368</v>
      </c>
      <c r="N14">
        <v>1011</v>
      </c>
      <c r="O14" t="s">
        <v>230</v>
      </c>
      <c r="P14" t="s">
        <v>230</v>
      </c>
      <c r="Q14">
        <v>1</v>
      </c>
      <c r="X14">
        <v>1.36</v>
      </c>
      <c r="Y14">
        <v>0</v>
      </c>
      <c r="Z14">
        <v>1.7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5</v>
      </c>
      <c r="AG14">
        <v>1.36</v>
      </c>
      <c r="AH14">
        <v>2</v>
      </c>
      <c r="AI14">
        <v>34765679</v>
      </c>
      <c r="AJ14">
        <v>10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ROW(Source!A26)</f>
        <v>26</v>
      </c>
      <c r="B15">
        <v>34765680</v>
      </c>
      <c r="C15">
        <v>34765677</v>
      </c>
      <c r="D15">
        <v>31446395</v>
      </c>
      <c r="E15">
        <v>1</v>
      </c>
      <c r="F15">
        <v>1</v>
      </c>
      <c r="G15">
        <v>1</v>
      </c>
      <c r="H15">
        <v>3</v>
      </c>
      <c r="I15" t="s">
        <v>239</v>
      </c>
      <c r="J15" t="s">
        <v>240</v>
      </c>
      <c r="K15" t="s">
        <v>241</v>
      </c>
      <c r="L15">
        <v>1339</v>
      </c>
      <c r="N15">
        <v>1007</v>
      </c>
      <c r="O15" t="s">
        <v>242</v>
      </c>
      <c r="P15" t="s">
        <v>242</v>
      </c>
      <c r="Q15">
        <v>1</v>
      </c>
      <c r="X15">
        <v>0.35</v>
      </c>
      <c r="Y15">
        <v>2.44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5</v>
      </c>
      <c r="AG15">
        <v>0.35</v>
      </c>
      <c r="AH15">
        <v>2</v>
      </c>
      <c r="AI15">
        <v>34765680</v>
      </c>
      <c r="AJ15">
        <v>11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ROW(Source!A26)</f>
        <v>26</v>
      </c>
      <c r="B16">
        <v>34765681</v>
      </c>
      <c r="C16">
        <v>34765677</v>
      </c>
      <c r="D16">
        <v>31443675</v>
      </c>
      <c r="E16">
        <v>17</v>
      </c>
      <c r="F16">
        <v>1</v>
      </c>
      <c r="G16">
        <v>1</v>
      </c>
      <c r="H16">
        <v>3</v>
      </c>
      <c r="I16" t="s">
        <v>301</v>
      </c>
      <c r="J16" t="s">
        <v>5</v>
      </c>
      <c r="K16" t="s">
        <v>302</v>
      </c>
      <c r="L16">
        <v>1348</v>
      </c>
      <c r="N16">
        <v>1009</v>
      </c>
      <c r="O16" t="s">
        <v>44</v>
      </c>
      <c r="P16" t="s">
        <v>44</v>
      </c>
      <c r="Q16">
        <v>1000</v>
      </c>
      <c r="X16">
        <v>9.6999999999999993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5</v>
      </c>
      <c r="AG16">
        <v>9.6999999999999993</v>
      </c>
      <c r="AH16">
        <v>3</v>
      </c>
      <c r="AI16">
        <v>-1</v>
      </c>
      <c r="AJ16" t="s">
        <v>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ROW(Source!A26)</f>
        <v>26</v>
      </c>
      <c r="B17">
        <v>34765682</v>
      </c>
      <c r="C17">
        <v>34765677</v>
      </c>
      <c r="D17">
        <v>31451984</v>
      </c>
      <c r="E17">
        <v>1</v>
      </c>
      <c r="F17">
        <v>1</v>
      </c>
      <c r="G17">
        <v>1</v>
      </c>
      <c r="H17">
        <v>3</v>
      </c>
      <c r="I17" t="s">
        <v>243</v>
      </c>
      <c r="J17" t="s">
        <v>244</v>
      </c>
      <c r="K17" t="s">
        <v>245</v>
      </c>
      <c r="L17">
        <v>1339</v>
      </c>
      <c r="N17">
        <v>1007</v>
      </c>
      <c r="O17" t="s">
        <v>242</v>
      </c>
      <c r="P17" t="s">
        <v>242</v>
      </c>
      <c r="Q17">
        <v>1</v>
      </c>
      <c r="X17">
        <v>4.4000000000000004</v>
      </c>
      <c r="Y17">
        <v>517.91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5</v>
      </c>
      <c r="AG17">
        <v>4.4000000000000004</v>
      </c>
      <c r="AH17">
        <v>2</v>
      </c>
      <c r="AI17">
        <v>34765682</v>
      </c>
      <c r="AJ17">
        <v>12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ROW(Source!A27)</f>
        <v>27</v>
      </c>
      <c r="B18">
        <v>34765678</v>
      </c>
      <c r="C18">
        <v>34765677</v>
      </c>
      <c r="D18">
        <v>31709544</v>
      </c>
      <c r="E18">
        <v>1</v>
      </c>
      <c r="F18">
        <v>1</v>
      </c>
      <c r="G18">
        <v>1</v>
      </c>
      <c r="H18">
        <v>1</v>
      </c>
      <c r="I18" t="s">
        <v>234</v>
      </c>
      <c r="J18" t="s">
        <v>5</v>
      </c>
      <c r="K18" t="s">
        <v>235</v>
      </c>
      <c r="L18">
        <v>1191</v>
      </c>
      <c r="N18">
        <v>1013</v>
      </c>
      <c r="O18" t="s">
        <v>224</v>
      </c>
      <c r="P18" t="s">
        <v>224</v>
      </c>
      <c r="Q18">
        <v>1</v>
      </c>
      <c r="X18">
        <v>318.47000000000003</v>
      </c>
      <c r="Y18">
        <v>0</v>
      </c>
      <c r="Z18">
        <v>0</v>
      </c>
      <c r="AA18">
        <v>0</v>
      </c>
      <c r="AB18">
        <v>9.07</v>
      </c>
      <c r="AC18">
        <v>0</v>
      </c>
      <c r="AD18">
        <v>1</v>
      </c>
      <c r="AE18">
        <v>1</v>
      </c>
      <c r="AF18" t="s">
        <v>5</v>
      </c>
      <c r="AG18">
        <v>318.47000000000003</v>
      </c>
      <c r="AH18">
        <v>2</v>
      </c>
      <c r="AI18">
        <v>34765678</v>
      </c>
      <c r="AJ18">
        <v>13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ROW(Source!A27)</f>
        <v>27</v>
      </c>
      <c r="B19">
        <v>34765679</v>
      </c>
      <c r="C19">
        <v>34765677</v>
      </c>
      <c r="D19">
        <v>31526951</v>
      </c>
      <c r="E19">
        <v>1</v>
      </c>
      <c r="F19">
        <v>1</v>
      </c>
      <c r="G19">
        <v>1</v>
      </c>
      <c r="H19">
        <v>2</v>
      </c>
      <c r="I19" t="s">
        <v>236</v>
      </c>
      <c r="J19" t="s">
        <v>237</v>
      </c>
      <c r="K19" t="s">
        <v>238</v>
      </c>
      <c r="L19">
        <v>1368</v>
      </c>
      <c r="N19">
        <v>1011</v>
      </c>
      <c r="O19" t="s">
        <v>230</v>
      </c>
      <c r="P19" t="s">
        <v>230</v>
      </c>
      <c r="Q19">
        <v>1</v>
      </c>
      <c r="X19">
        <v>1.36</v>
      </c>
      <c r="Y19">
        <v>0</v>
      </c>
      <c r="Z19">
        <v>1.7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5</v>
      </c>
      <c r="AG19">
        <v>1.36</v>
      </c>
      <c r="AH19">
        <v>2</v>
      </c>
      <c r="AI19">
        <v>34765679</v>
      </c>
      <c r="AJ19">
        <v>14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ROW(Source!A27)</f>
        <v>27</v>
      </c>
      <c r="B20">
        <v>34765680</v>
      </c>
      <c r="C20">
        <v>34765677</v>
      </c>
      <c r="D20">
        <v>31446395</v>
      </c>
      <c r="E20">
        <v>1</v>
      </c>
      <c r="F20">
        <v>1</v>
      </c>
      <c r="G20">
        <v>1</v>
      </c>
      <c r="H20">
        <v>3</v>
      </c>
      <c r="I20" t="s">
        <v>239</v>
      </c>
      <c r="J20" t="s">
        <v>240</v>
      </c>
      <c r="K20" t="s">
        <v>241</v>
      </c>
      <c r="L20">
        <v>1339</v>
      </c>
      <c r="N20">
        <v>1007</v>
      </c>
      <c r="O20" t="s">
        <v>242</v>
      </c>
      <c r="P20" t="s">
        <v>242</v>
      </c>
      <c r="Q20">
        <v>1</v>
      </c>
      <c r="X20">
        <v>0.35</v>
      </c>
      <c r="Y20">
        <v>2.44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5</v>
      </c>
      <c r="AG20">
        <v>0.35</v>
      </c>
      <c r="AH20">
        <v>2</v>
      </c>
      <c r="AI20">
        <v>34765680</v>
      </c>
      <c r="AJ20">
        <v>15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ROW(Source!A27)</f>
        <v>27</v>
      </c>
      <c r="B21">
        <v>34765681</v>
      </c>
      <c r="C21">
        <v>34765677</v>
      </c>
      <c r="D21">
        <v>31443675</v>
      </c>
      <c r="E21">
        <v>17</v>
      </c>
      <c r="F21">
        <v>1</v>
      </c>
      <c r="G21">
        <v>1</v>
      </c>
      <c r="H21">
        <v>3</v>
      </c>
      <c r="I21" t="s">
        <v>301</v>
      </c>
      <c r="J21" t="s">
        <v>5</v>
      </c>
      <c r="K21" t="s">
        <v>302</v>
      </c>
      <c r="L21">
        <v>1348</v>
      </c>
      <c r="N21">
        <v>1009</v>
      </c>
      <c r="O21" t="s">
        <v>44</v>
      </c>
      <c r="P21" t="s">
        <v>44</v>
      </c>
      <c r="Q21">
        <v>1000</v>
      </c>
      <c r="X21">
        <v>9.6999999999999993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 t="s">
        <v>5</v>
      </c>
      <c r="AG21">
        <v>9.6999999999999993</v>
      </c>
      <c r="AH21">
        <v>3</v>
      </c>
      <c r="AI21">
        <v>-1</v>
      </c>
      <c r="AJ21" t="s">
        <v>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ROW(Source!A27)</f>
        <v>27</v>
      </c>
      <c r="B22">
        <v>34765682</v>
      </c>
      <c r="C22">
        <v>34765677</v>
      </c>
      <c r="D22">
        <v>31451984</v>
      </c>
      <c r="E22">
        <v>1</v>
      </c>
      <c r="F22">
        <v>1</v>
      </c>
      <c r="G22">
        <v>1</v>
      </c>
      <c r="H22">
        <v>3</v>
      </c>
      <c r="I22" t="s">
        <v>243</v>
      </c>
      <c r="J22" t="s">
        <v>244</v>
      </c>
      <c r="K22" t="s">
        <v>245</v>
      </c>
      <c r="L22">
        <v>1339</v>
      </c>
      <c r="N22">
        <v>1007</v>
      </c>
      <c r="O22" t="s">
        <v>242</v>
      </c>
      <c r="P22" t="s">
        <v>242</v>
      </c>
      <c r="Q22">
        <v>1</v>
      </c>
      <c r="X22">
        <v>4.4000000000000004</v>
      </c>
      <c r="Y22">
        <v>517.91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5</v>
      </c>
      <c r="AG22">
        <v>4.4000000000000004</v>
      </c>
      <c r="AH22">
        <v>2</v>
      </c>
      <c r="AI22">
        <v>34765682</v>
      </c>
      <c r="AJ22">
        <v>16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ROW(Source!A28)</f>
        <v>28</v>
      </c>
      <c r="B23">
        <v>34765685</v>
      </c>
      <c r="C23">
        <v>34765684</v>
      </c>
      <c r="D23">
        <v>31709544</v>
      </c>
      <c r="E23">
        <v>1</v>
      </c>
      <c r="F23">
        <v>1</v>
      </c>
      <c r="G23">
        <v>1</v>
      </c>
      <c r="H23">
        <v>1</v>
      </c>
      <c r="I23" t="s">
        <v>234</v>
      </c>
      <c r="J23" t="s">
        <v>5</v>
      </c>
      <c r="K23" t="s">
        <v>235</v>
      </c>
      <c r="L23">
        <v>1191</v>
      </c>
      <c r="N23">
        <v>1013</v>
      </c>
      <c r="O23" t="s">
        <v>224</v>
      </c>
      <c r="P23" t="s">
        <v>224</v>
      </c>
      <c r="Q23">
        <v>1</v>
      </c>
      <c r="X23">
        <v>47.85</v>
      </c>
      <c r="Y23">
        <v>0</v>
      </c>
      <c r="Z23">
        <v>0</v>
      </c>
      <c r="AA23">
        <v>0</v>
      </c>
      <c r="AB23">
        <v>9.07</v>
      </c>
      <c r="AC23">
        <v>0</v>
      </c>
      <c r="AD23">
        <v>1</v>
      </c>
      <c r="AE23">
        <v>1</v>
      </c>
      <c r="AF23" t="s">
        <v>5</v>
      </c>
      <c r="AG23">
        <v>47.85</v>
      </c>
      <c r="AH23">
        <v>2</v>
      </c>
      <c r="AI23">
        <v>34765685</v>
      </c>
      <c r="AJ23">
        <v>17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ROW(Source!A28)</f>
        <v>28</v>
      </c>
      <c r="B24">
        <v>34765686</v>
      </c>
      <c r="C24">
        <v>34765684</v>
      </c>
      <c r="D24">
        <v>31526951</v>
      </c>
      <c r="E24">
        <v>1</v>
      </c>
      <c r="F24">
        <v>1</v>
      </c>
      <c r="G24">
        <v>1</v>
      </c>
      <c r="H24">
        <v>2</v>
      </c>
      <c r="I24" t="s">
        <v>236</v>
      </c>
      <c r="J24" t="s">
        <v>237</v>
      </c>
      <c r="K24" t="s">
        <v>238</v>
      </c>
      <c r="L24">
        <v>1368</v>
      </c>
      <c r="N24">
        <v>1011</v>
      </c>
      <c r="O24" t="s">
        <v>230</v>
      </c>
      <c r="P24" t="s">
        <v>230</v>
      </c>
      <c r="Q24">
        <v>1</v>
      </c>
      <c r="X24">
        <v>0.34</v>
      </c>
      <c r="Y24">
        <v>0</v>
      </c>
      <c r="Z24">
        <v>1.7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5</v>
      </c>
      <c r="AG24">
        <v>0.34</v>
      </c>
      <c r="AH24">
        <v>2</v>
      </c>
      <c r="AI24">
        <v>34765686</v>
      </c>
      <c r="AJ24">
        <v>18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ROW(Source!A28)</f>
        <v>28</v>
      </c>
      <c r="B25">
        <v>34765687</v>
      </c>
      <c r="C25">
        <v>34765684</v>
      </c>
      <c r="D25">
        <v>31443675</v>
      </c>
      <c r="E25">
        <v>17</v>
      </c>
      <c r="F25">
        <v>1</v>
      </c>
      <c r="G25">
        <v>1</v>
      </c>
      <c r="H25">
        <v>3</v>
      </c>
      <c r="I25" t="s">
        <v>301</v>
      </c>
      <c r="J25" t="s">
        <v>5</v>
      </c>
      <c r="K25" t="s">
        <v>302</v>
      </c>
      <c r="L25">
        <v>1348</v>
      </c>
      <c r="N25">
        <v>1009</v>
      </c>
      <c r="O25" t="s">
        <v>44</v>
      </c>
      <c r="P25" t="s">
        <v>44</v>
      </c>
      <c r="Q25">
        <v>1000</v>
      </c>
      <c r="X25">
        <v>2.4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 t="s">
        <v>5</v>
      </c>
      <c r="AG25">
        <v>2.4</v>
      </c>
      <c r="AH25">
        <v>3</v>
      </c>
      <c r="AI25">
        <v>-1</v>
      </c>
      <c r="AJ25" t="s">
        <v>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ROW(Source!A28)</f>
        <v>28</v>
      </c>
      <c r="B26">
        <v>34765688</v>
      </c>
      <c r="C26">
        <v>34765684</v>
      </c>
      <c r="D26">
        <v>31451984</v>
      </c>
      <c r="E26">
        <v>1</v>
      </c>
      <c r="F26">
        <v>1</v>
      </c>
      <c r="G26">
        <v>1</v>
      </c>
      <c r="H26">
        <v>3</v>
      </c>
      <c r="I26" t="s">
        <v>243</v>
      </c>
      <c r="J26" t="s">
        <v>244</v>
      </c>
      <c r="K26" t="s">
        <v>245</v>
      </c>
      <c r="L26">
        <v>1339</v>
      </c>
      <c r="N26">
        <v>1007</v>
      </c>
      <c r="O26" t="s">
        <v>242</v>
      </c>
      <c r="P26" t="s">
        <v>242</v>
      </c>
      <c r="Q26">
        <v>1</v>
      </c>
      <c r="X26">
        <v>1.1000000000000001</v>
      </c>
      <c r="Y26">
        <v>517.91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5</v>
      </c>
      <c r="AG26">
        <v>1.1000000000000001</v>
      </c>
      <c r="AH26">
        <v>2</v>
      </c>
      <c r="AI26">
        <v>34765688</v>
      </c>
      <c r="AJ26">
        <v>19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ROW(Source!A29)</f>
        <v>29</v>
      </c>
      <c r="B27">
        <v>34765685</v>
      </c>
      <c r="C27">
        <v>34765684</v>
      </c>
      <c r="D27">
        <v>31709544</v>
      </c>
      <c r="E27">
        <v>1</v>
      </c>
      <c r="F27">
        <v>1</v>
      </c>
      <c r="G27">
        <v>1</v>
      </c>
      <c r="H27">
        <v>1</v>
      </c>
      <c r="I27" t="s">
        <v>234</v>
      </c>
      <c r="J27" t="s">
        <v>5</v>
      </c>
      <c r="K27" t="s">
        <v>235</v>
      </c>
      <c r="L27">
        <v>1191</v>
      </c>
      <c r="N27">
        <v>1013</v>
      </c>
      <c r="O27" t="s">
        <v>224</v>
      </c>
      <c r="P27" t="s">
        <v>224</v>
      </c>
      <c r="Q27">
        <v>1</v>
      </c>
      <c r="X27">
        <v>47.85</v>
      </c>
      <c r="Y27">
        <v>0</v>
      </c>
      <c r="Z27">
        <v>0</v>
      </c>
      <c r="AA27">
        <v>0</v>
      </c>
      <c r="AB27">
        <v>9.07</v>
      </c>
      <c r="AC27">
        <v>0</v>
      </c>
      <c r="AD27">
        <v>1</v>
      </c>
      <c r="AE27">
        <v>1</v>
      </c>
      <c r="AF27" t="s">
        <v>5</v>
      </c>
      <c r="AG27">
        <v>47.85</v>
      </c>
      <c r="AH27">
        <v>2</v>
      </c>
      <c r="AI27">
        <v>34765685</v>
      </c>
      <c r="AJ27">
        <v>20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ROW(Source!A29)</f>
        <v>29</v>
      </c>
      <c r="B28">
        <v>34765686</v>
      </c>
      <c r="C28">
        <v>34765684</v>
      </c>
      <c r="D28">
        <v>31526951</v>
      </c>
      <c r="E28">
        <v>1</v>
      </c>
      <c r="F28">
        <v>1</v>
      </c>
      <c r="G28">
        <v>1</v>
      </c>
      <c r="H28">
        <v>2</v>
      </c>
      <c r="I28" t="s">
        <v>236</v>
      </c>
      <c r="J28" t="s">
        <v>237</v>
      </c>
      <c r="K28" t="s">
        <v>238</v>
      </c>
      <c r="L28">
        <v>1368</v>
      </c>
      <c r="N28">
        <v>1011</v>
      </c>
      <c r="O28" t="s">
        <v>230</v>
      </c>
      <c r="P28" t="s">
        <v>230</v>
      </c>
      <c r="Q28">
        <v>1</v>
      </c>
      <c r="X28">
        <v>0.34</v>
      </c>
      <c r="Y28">
        <v>0</v>
      </c>
      <c r="Z28">
        <v>1.7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5</v>
      </c>
      <c r="AG28">
        <v>0.34</v>
      </c>
      <c r="AH28">
        <v>2</v>
      </c>
      <c r="AI28">
        <v>34765686</v>
      </c>
      <c r="AJ28">
        <v>21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ROW(Source!A29)</f>
        <v>29</v>
      </c>
      <c r="B29">
        <v>34765687</v>
      </c>
      <c r="C29">
        <v>34765684</v>
      </c>
      <c r="D29">
        <v>31443675</v>
      </c>
      <c r="E29">
        <v>17</v>
      </c>
      <c r="F29">
        <v>1</v>
      </c>
      <c r="G29">
        <v>1</v>
      </c>
      <c r="H29">
        <v>3</v>
      </c>
      <c r="I29" t="s">
        <v>301</v>
      </c>
      <c r="J29" t="s">
        <v>5</v>
      </c>
      <c r="K29" t="s">
        <v>302</v>
      </c>
      <c r="L29">
        <v>1348</v>
      </c>
      <c r="N29">
        <v>1009</v>
      </c>
      <c r="O29" t="s">
        <v>44</v>
      </c>
      <c r="P29" t="s">
        <v>44</v>
      </c>
      <c r="Q29">
        <v>1000</v>
      </c>
      <c r="X29">
        <v>2.4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5</v>
      </c>
      <c r="AG29">
        <v>2.4</v>
      </c>
      <c r="AH29">
        <v>3</v>
      </c>
      <c r="AI29">
        <v>-1</v>
      </c>
      <c r="AJ29" t="s">
        <v>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ROW(Source!A29)</f>
        <v>29</v>
      </c>
      <c r="B30">
        <v>34765688</v>
      </c>
      <c r="C30">
        <v>34765684</v>
      </c>
      <c r="D30">
        <v>31451984</v>
      </c>
      <c r="E30">
        <v>1</v>
      </c>
      <c r="F30">
        <v>1</v>
      </c>
      <c r="G30">
        <v>1</v>
      </c>
      <c r="H30">
        <v>3</v>
      </c>
      <c r="I30" t="s">
        <v>243</v>
      </c>
      <c r="J30" t="s">
        <v>244</v>
      </c>
      <c r="K30" t="s">
        <v>245</v>
      </c>
      <c r="L30">
        <v>1339</v>
      </c>
      <c r="N30">
        <v>1007</v>
      </c>
      <c r="O30" t="s">
        <v>242</v>
      </c>
      <c r="P30" t="s">
        <v>242</v>
      </c>
      <c r="Q30">
        <v>1</v>
      </c>
      <c r="X30">
        <v>1.1000000000000001</v>
      </c>
      <c r="Y30">
        <v>517.91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5</v>
      </c>
      <c r="AG30">
        <v>1.1000000000000001</v>
      </c>
      <c r="AH30">
        <v>2</v>
      </c>
      <c r="AI30">
        <v>34765688</v>
      </c>
      <c r="AJ30">
        <v>22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34765068</v>
      </c>
      <c r="C31">
        <v>34763864</v>
      </c>
      <c r="D31">
        <v>31714778</v>
      </c>
      <c r="E31">
        <v>1</v>
      </c>
      <c r="F31">
        <v>1</v>
      </c>
      <c r="G31">
        <v>1</v>
      </c>
      <c r="H31">
        <v>1</v>
      </c>
      <c r="I31" t="s">
        <v>246</v>
      </c>
      <c r="J31" t="s">
        <v>5</v>
      </c>
      <c r="K31" t="s">
        <v>247</v>
      </c>
      <c r="L31">
        <v>1191</v>
      </c>
      <c r="N31">
        <v>1013</v>
      </c>
      <c r="O31" t="s">
        <v>224</v>
      </c>
      <c r="P31" t="s">
        <v>224</v>
      </c>
      <c r="Q31">
        <v>1</v>
      </c>
      <c r="X31">
        <v>323.39999999999998</v>
      </c>
      <c r="Y31">
        <v>0</v>
      </c>
      <c r="Z31">
        <v>0</v>
      </c>
      <c r="AA31">
        <v>0</v>
      </c>
      <c r="AB31">
        <v>9.2899999999999991</v>
      </c>
      <c r="AC31">
        <v>0</v>
      </c>
      <c r="AD31">
        <v>1</v>
      </c>
      <c r="AE31">
        <v>1</v>
      </c>
      <c r="AF31" t="s">
        <v>5</v>
      </c>
      <c r="AG31">
        <v>323.39999999999998</v>
      </c>
      <c r="AH31">
        <v>2</v>
      </c>
      <c r="AI31">
        <v>34765068</v>
      </c>
      <c r="AJ31">
        <v>23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34765069</v>
      </c>
      <c r="C32">
        <v>34763864</v>
      </c>
      <c r="D32">
        <v>31526951</v>
      </c>
      <c r="E32">
        <v>1</v>
      </c>
      <c r="F32">
        <v>1</v>
      </c>
      <c r="G32">
        <v>1</v>
      </c>
      <c r="H32">
        <v>2</v>
      </c>
      <c r="I32" t="s">
        <v>236</v>
      </c>
      <c r="J32" t="s">
        <v>237</v>
      </c>
      <c r="K32" t="s">
        <v>238</v>
      </c>
      <c r="L32">
        <v>1368</v>
      </c>
      <c r="N32">
        <v>1011</v>
      </c>
      <c r="O32" t="s">
        <v>230</v>
      </c>
      <c r="P32" t="s">
        <v>230</v>
      </c>
      <c r="Q32">
        <v>1</v>
      </c>
      <c r="X32">
        <v>1.36</v>
      </c>
      <c r="Y32">
        <v>0</v>
      </c>
      <c r="Z32">
        <v>1.7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5</v>
      </c>
      <c r="AG32">
        <v>1.36</v>
      </c>
      <c r="AH32">
        <v>2</v>
      </c>
      <c r="AI32">
        <v>34765069</v>
      </c>
      <c r="AJ32">
        <v>24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34765070</v>
      </c>
      <c r="C33">
        <v>34763864</v>
      </c>
      <c r="D33">
        <v>31446395</v>
      </c>
      <c r="E33">
        <v>1</v>
      </c>
      <c r="F33">
        <v>1</v>
      </c>
      <c r="G33">
        <v>1</v>
      </c>
      <c r="H33">
        <v>3</v>
      </c>
      <c r="I33" t="s">
        <v>239</v>
      </c>
      <c r="J33" t="s">
        <v>240</v>
      </c>
      <c r="K33" t="s">
        <v>241</v>
      </c>
      <c r="L33">
        <v>1339</v>
      </c>
      <c r="N33">
        <v>1007</v>
      </c>
      <c r="O33" t="s">
        <v>242</v>
      </c>
      <c r="P33" t="s">
        <v>242</v>
      </c>
      <c r="Q33">
        <v>1</v>
      </c>
      <c r="X33">
        <v>0.35</v>
      </c>
      <c r="Y33">
        <v>2.44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5</v>
      </c>
      <c r="AG33">
        <v>0.35</v>
      </c>
      <c r="AH33">
        <v>2</v>
      </c>
      <c r="AI33">
        <v>34765070</v>
      </c>
      <c r="AJ33">
        <v>25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34765071</v>
      </c>
      <c r="C34">
        <v>34763864</v>
      </c>
      <c r="D34">
        <v>31443675</v>
      </c>
      <c r="E34">
        <v>17</v>
      </c>
      <c r="F34">
        <v>1</v>
      </c>
      <c r="G34">
        <v>1</v>
      </c>
      <c r="H34">
        <v>3</v>
      </c>
      <c r="I34" t="s">
        <v>301</v>
      </c>
      <c r="J34" t="s">
        <v>5</v>
      </c>
      <c r="K34" t="s">
        <v>302</v>
      </c>
      <c r="L34">
        <v>1348</v>
      </c>
      <c r="N34">
        <v>1009</v>
      </c>
      <c r="O34" t="s">
        <v>44</v>
      </c>
      <c r="P34" t="s">
        <v>44</v>
      </c>
      <c r="Q34">
        <v>1000</v>
      </c>
      <c r="X34">
        <v>9.68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5</v>
      </c>
      <c r="AG34">
        <v>9.68</v>
      </c>
      <c r="AH34">
        <v>3</v>
      </c>
      <c r="AI34">
        <v>-1</v>
      </c>
      <c r="AJ34" t="s">
        <v>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34765072</v>
      </c>
      <c r="C35">
        <v>34763864</v>
      </c>
      <c r="D35">
        <v>31451984</v>
      </c>
      <c r="E35">
        <v>1</v>
      </c>
      <c r="F35">
        <v>1</v>
      </c>
      <c r="G35">
        <v>1</v>
      </c>
      <c r="H35">
        <v>3</v>
      </c>
      <c r="I35" t="s">
        <v>243</v>
      </c>
      <c r="J35" t="s">
        <v>244</v>
      </c>
      <c r="K35" t="s">
        <v>245</v>
      </c>
      <c r="L35">
        <v>1339</v>
      </c>
      <c r="N35">
        <v>1007</v>
      </c>
      <c r="O35" t="s">
        <v>242</v>
      </c>
      <c r="P35" t="s">
        <v>242</v>
      </c>
      <c r="Q35">
        <v>1</v>
      </c>
      <c r="X35">
        <v>4.4000000000000004</v>
      </c>
      <c r="Y35">
        <v>517.91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5</v>
      </c>
      <c r="AG35">
        <v>4.4000000000000004</v>
      </c>
      <c r="AH35">
        <v>2</v>
      </c>
      <c r="AI35">
        <v>34765072</v>
      </c>
      <c r="AJ35">
        <v>26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34765068</v>
      </c>
      <c r="C36">
        <v>34763864</v>
      </c>
      <c r="D36">
        <v>31714778</v>
      </c>
      <c r="E36">
        <v>1</v>
      </c>
      <c r="F36">
        <v>1</v>
      </c>
      <c r="G36">
        <v>1</v>
      </c>
      <c r="H36">
        <v>1</v>
      </c>
      <c r="I36" t="s">
        <v>246</v>
      </c>
      <c r="J36" t="s">
        <v>5</v>
      </c>
      <c r="K36" t="s">
        <v>247</v>
      </c>
      <c r="L36">
        <v>1191</v>
      </c>
      <c r="N36">
        <v>1013</v>
      </c>
      <c r="O36" t="s">
        <v>224</v>
      </c>
      <c r="P36" t="s">
        <v>224</v>
      </c>
      <c r="Q36">
        <v>1</v>
      </c>
      <c r="X36">
        <v>323.39999999999998</v>
      </c>
      <c r="Y36">
        <v>0</v>
      </c>
      <c r="Z36">
        <v>0</v>
      </c>
      <c r="AA36">
        <v>0</v>
      </c>
      <c r="AB36">
        <v>9.2899999999999991</v>
      </c>
      <c r="AC36">
        <v>0</v>
      </c>
      <c r="AD36">
        <v>1</v>
      </c>
      <c r="AE36">
        <v>1</v>
      </c>
      <c r="AF36" t="s">
        <v>5</v>
      </c>
      <c r="AG36">
        <v>323.39999999999998</v>
      </c>
      <c r="AH36">
        <v>2</v>
      </c>
      <c r="AI36">
        <v>34765068</v>
      </c>
      <c r="AJ36">
        <v>27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34765069</v>
      </c>
      <c r="C37">
        <v>34763864</v>
      </c>
      <c r="D37">
        <v>31526951</v>
      </c>
      <c r="E37">
        <v>1</v>
      </c>
      <c r="F37">
        <v>1</v>
      </c>
      <c r="G37">
        <v>1</v>
      </c>
      <c r="H37">
        <v>2</v>
      </c>
      <c r="I37" t="s">
        <v>236</v>
      </c>
      <c r="J37" t="s">
        <v>237</v>
      </c>
      <c r="K37" t="s">
        <v>238</v>
      </c>
      <c r="L37">
        <v>1368</v>
      </c>
      <c r="N37">
        <v>1011</v>
      </c>
      <c r="O37" t="s">
        <v>230</v>
      </c>
      <c r="P37" t="s">
        <v>230</v>
      </c>
      <c r="Q37">
        <v>1</v>
      </c>
      <c r="X37">
        <v>1.36</v>
      </c>
      <c r="Y37">
        <v>0</v>
      </c>
      <c r="Z37">
        <v>1.7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5</v>
      </c>
      <c r="AG37">
        <v>1.36</v>
      </c>
      <c r="AH37">
        <v>2</v>
      </c>
      <c r="AI37">
        <v>34765069</v>
      </c>
      <c r="AJ37">
        <v>28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34765070</v>
      </c>
      <c r="C38">
        <v>34763864</v>
      </c>
      <c r="D38">
        <v>31446395</v>
      </c>
      <c r="E38">
        <v>1</v>
      </c>
      <c r="F38">
        <v>1</v>
      </c>
      <c r="G38">
        <v>1</v>
      </c>
      <c r="H38">
        <v>3</v>
      </c>
      <c r="I38" t="s">
        <v>239</v>
      </c>
      <c r="J38" t="s">
        <v>240</v>
      </c>
      <c r="K38" t="s">
        <v>241</v>
      </c>
      <c r="L38">
        <v>1339</v>
      </c>
      <c r="N38">
        <v>1007</v>
      </c>
      <c r="O38" t="s">
        <v>242</v>
      </c>
      <c r="P38" t="s">
        <v>242</v>
      </c>
      <c r="Q38">
        <v>1</v>
      </c>
      <c r="X38">
        <v>0.35</v>
      </c>
      <c r="Y38">
        <v>2.44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5</v>
      </c>
      <c r="AG38">
        <v>0.35</v>
      </c>
      <c r="AH38">
        <v>2</v>
      </c>
      <c r="AI38">
        <v>34765070</v>
      </c>
      <c r="AJ38">
        <v>29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34765071</v>
      </c>
      <c r="C39">
        <v>34763864</v>
      </c>
      <c r="D39">
        <v>31443675</v>
      </c>
      <c r="E39">
        <v>17</v>
      </c>
      <c r="F39">
        <v>1</v>
      </c>
      <c r="G39">
        <v>1</v>
      </c>
      <c r="H39">
        <v>3</v>
      </c>
      <c r="I39" t="s">
        <v>301</v>
      </c>
      <c r="J39" t="s">
        <v>5</v>
      </c>
      <c r="K39" t="s">
        <v>302</v>
      </c>
      <c r="L39">
        <v>1348</v>
      </c>
      <c r="N39">
        <v>1009</v>
      </c>
      <c r="O39" t="s">
        <v>44</v>
      </c>
      <c r="P39" t="s">
        <v>44</v>
      </c>
      <c r="Q39">
        <v>1000</v>
      </c>
      <c r="X39">
        <v>9.68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 t="s">
        <v>5</v>
      </c>
      <c r="AG39">
        <v>9.68</v>
      </c>
      <c r="AH39">
        <v>3</v>
      </c>
      <c r="AI39">
        <v>-1</v>
      </c>
      <c r="AJ39" t="s">
        <v>5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34765072</v>
      </c>
      <c r="C40">
        <v>34763864</v>
      </c>
      <c r="D40">
        <v>31451984</v>
      </c>
      <c r="E40">
        <v>1</v>
      </c>
      <c r="F40">
        <v>1</v>
      </c>
      <c r="G40">
        <v>1</v>
      </c>
      <c r="H40">
        <v>3</v>
      </c>
      <c r="I40" t="s">
        <v>243</v>
      </c>
      <c r="J40" t="s">
        <v>244</v>
      </c>
      <c r="K40" t="s">
        <v>245</v>
      </c>
      <c r="L40">
        <v>1339</v>
      </c>
      <c r="N40">
        <v>1007</v>
      </c>
      <c r="O40" t="s">
        <v>242</v>
      </c>
      <c r="P40" t="s">
        <v>242</v>
      </c>
      <c r="Q40">
        <v>1</v>
      </c>
      <c r="X40">
        <v>4.4000000000000004</v>
      </c>
      <c r="Y40">
        <v>517.91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5</v>
      </c>
      <c r="AG40">
        <v>4.4000000000000004</v>
      </c>
      <c r="AH40">
        <v>2</v>
      </c>
      <c r="AI40">
        <v>34765072</v>
      </c>
      <c r="AJ40">
        <v>30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ROW(Source!A32)</f>
        <v>32</v>
      </c>
      <c r="B41">
        <v>34765074</v>
      </c>
      <c r="C41">
        <v>34763871</v>
      </c>
      <c r="D41">
        <v>31709863</v>
      </c>
      <c r="E41">
        <v>1</v>
      </c>
      <c r="F41">
        <v>1</v>
      </c>
      <c r="G41">
        <v>1</v>
      </c>
      <c r="H41">
        <v>1</v>
      </c>
      <c r="I41" t="s">
        <v>248</v>
      </c>
      <c r="J41" t="s">
        <v>5</v>
      </c>
      <c r="K41" t="s">
        <v>249</v>
      </c>
      <c r="L41">
        <v>1191</v>
      </c>
      <c r="N41">
        <v>1013</v>
      </c>
      <c r="O41" t="s">
        <v>224</v>
      </c>
      <c r="P41" t="s">
        <v>224</v>
      </c>
      <c r="Q41">
        <v>1</v>
      </c>
      <c r="X41">
        <v>24.05</v>
      </c>
      <c r="Y41">
        <v>0</v>
      </c>
      <c r="Z41">
        <v>0</v>
      </c>
      <c r="AA41">
        <v>0</v>
      </c>
      <c r="AB41">
        <v>8.5299999999999994</v>
      </c>
      <c r="AC41">
        <v>0</v>
      </c>
      <c r="AD41">
        <v>1</v>
      </c>
      <c r="AE41">
        <v>1</v>
      </c>
      <c r="AF41" t="s">
        <v>5</v>
      </c>
      <c r="AG41">
        <v>24.05</v>
      </c>
      <c r="AH41">
        <v>2</v>
      </c>
      <c r="AI41">
        <v>34765074</v>
      </c>
      <c r="AJ41">
        <v>31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ROW(Source!A32)</f>
        <v>32</v>
      </c>
      <c r="B42">
        <v>34765075</v>
      </c>
      <c r="C42">
        <v>34763871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225</v>
      </c>
      <c r="J42" t="s">
        <v>5</v>
      </c>
      <c r="K42" t="s">
        <v>226</v>
      </c>
      <c r="L42">
        <v>1191</v>
      </c>
      <c r="N42">
        <v>1013</v>
      </c>
      <c r="O42" t="s">
        <v>224</v>
      </c>
      <c r="P42" t="s">
        <v>224</v>
      </c>
      <c r="Q42">
        <v>1</v>
      </c>
      <c r="X42">
        <v>0.01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5</v>
      </c>
      <c r="AG42">
        <v>0.01</v>
      </c>
      <c r="AH42">
        <v>2</v>
      </c>
      <c r="AI42">
        <v>34765075</v>
      </c>
      <c r="AJ42">
        <v>32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ROW(Source!A32)</f>
        <v>32</v>
      </c>
      <c r="B43">
        <v>34765076</v>
      </c>
      <c r="C43">
        <v>34763871</v>
      </c>
      <c r="D43">
        <v>31528142</v>
      </c>
      <c r="E43">
        <v>1</v>
      </c>
      <c r="F43">
        <v>1</v>
      </c>
      <c r="G43">
        <v>1</v>
      </c>
      <c r="H43">
        <v>2</v>
      </c>
      <c r="I43" t="s">
        <v>227</v>
      </c>
      <c r="J43" t="s">
        <v>228</v>
      </c>
      <c r="K43" t="s">
        <v>229</v>
      </c>
      <c r="L43">
        <v>1368</v>
      </c>
      <c r="N43">
        <v>1011</v>
      </c>
      <c r="O43" t="s">
        <v>230</v>
      </c>
      <c r="P43" t="s">
        <v>230</v>
      </c>
      <c r="Q43">
        <v>1</v>
      </c>
      <c r="X43">
        <v>0.01</v>
      </c>
      <c r="Y43">
        <v>0</v>
      </c>
      <c r="Z43">
        <v>65.709999999999994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5</v>
      </c>
      <c r="AG43">
        <v>0.01</v>
      </c>
      <c r="AH43">
        <v>2</v>
      </c>
      <c r="AI43">
        <v>34765076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34765077</v>
      </c>
      <c r="C44">
        <v>34763871</v>
      </c>
      <c r="D44">
        <v>31444415</v>
      </c>
      <c r="E44">
        <v>1</v>
      </c>
      <c r="F44">
        <v>1</v>
      </c>
      <c r="G44">
        <v>1</v>
      </c>
      <c r="H44">
        <v>3</v>
      </c>
      <c r="I44" t="s">
        <v>250</v>
      </c>
      <c r="J44" t="s">
        <v>251</v>
      </c>
      <c r="K44" t="s">
        <v>252</v>
      </c>
      <c r="L44">
        <v>1348</v>
      </c>
      <c r="N44">
        <v>1009</v>
      </c>
      <c r="O44" t="s">
        <v>44</v>
      </c>
      <c r="P44" t="s">
        <v>44</v>
      </c>
      <c r="Q44">
        <v>1000</v>
      </c>
      <c r="X44">
        <v>1.2E-2</v>
      </c>
      <c r="Y44">
        <v>3210.5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5</v>
      </c>
      <c r="AG44">
        <v>1.2E-2</v>
      </c>
      <c r="AH44">
        <v>2</v>
      </c>
      <c r="AI44">
        <v>34765077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34765078</v>
      </c>
      <c r="C45">
        <v>34763871</v>
      </c>
      <c r="D45">
        <v>31446826</v>
      </c>
      <c r="E45">
        <v>1</v>
      </c>
      <c r="F45">
        <v>1</v>
      </c>
      <c r="G45">
        <v>1</v>
      </c>
      <c r="H45">
        <v>3</v>
      </c>
      <c r="I45" t="s">
        <v>253</v>
      </c>
      <c r="J45" t="s">
        <v>254</v>
      </c>
      <c r="K45" t="s">
        <v>255</v>
      </c>
      <c r="L45">
        <v>1348</v>
      </c>
      <c r="N45">
        <v>1009</v>
      </c>
      <c r="O45" t="s">
        <v>44</v>
      </c>
      <c r="P45" t="s">
        <v>44</v>
      </c>
      <c r="Q45">
        <v>1000</v>
      </c>
      <c r="X45">
        <v>3.0000000000000001E-3</v>
      </c>
      <c r="Y45">
        <v>16385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5</v>
      </c>
      <c r="AG45">
        <v>3.0000000000000001E-3</v>
      </c>
      <c r="AH45">
        <v>2</v>
      </c>
      <c r="AI45">
        <v>34765078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34765079</v>
      </c>
      <c r="C46">
        <v>34763871</v>
      </c>
      <c r="D46">
        <v>31447124</v>
      </c>
      <c r="E46">
        <v>1</v>
      </c>
      <c r="F46">
        <v>1</v>
      </c>
      <c r="G46">
        <v>1</v>
      </c>
      <c r="H46">
        <v>3</v>
      </c>
      <c r="I46" t="s">
        <v>256</v>
      </c>
      <c r="J46" t="s">
        <v>257</v>
      </c>
      <c r="K46" t="s">
        <v>258</v>
      </c>
      <c r="L46">
        <v>1348</v>
      </c>
      <c r="N46">
        <v>1009</v>
      </c>
      <c r="O46" t="s">
        <v>44</v>
      </c>
      <c r="P46" t="s">
        <v>44</v>
      </c>
      <c r="Q46">
        <v>1000</v>
      </c>
      <c r="X46">
        <v>1.2E-2</v>
      </c>
      <c r="Y46">
        <v>586.47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5</v>
      </c>
      <c r="AG46">
        <v>1.2E-2</v>
      </c>
      <c r="AH46">
        <v>2</v>
      </c>
      <c r="AI46">
        <v>34765079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34765080</v>
      </c>
      <c r="C47">
        <v>34763871</v>
      </c>
      <c r="D47">
        <v>31451016</v>
      </c>
      <c r="E47">
        <v>1</v>
      </c>
      <c r="F47">
        <v>1</v>
      </c>
      <c r="G47">
        <v>1</v>
      </c>
      <c r="H47">
        <v>3</v>
      </c>
      <c r="I47" t="s">
        <v>259</v>
      </c>
      <c r="J47" t="s">
        <v>260</v>
      </c>
      <c r="K47" t="s">
        <v>261</v>
      </c>
      <c r="L47">
        <v>1339</v>
      </c>
      <c r="N47">
        <v>1007</v>
      </c>
      <c r="O47" t="s">
        <v>242</v>
      </c>
      <c r="P47" t="s">
        <v>242</v>
      </c>
      <c r="Q47">
        <v>1</v>
      </c>
      <c r="X47">
        <v>4.7000000000000002E-3</v>
      </c>
      <c r="Y47">
        <v>74.58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5</v>
      </c>
      <c r="AG47">
        <v>4.7000000000000002E-3</v>
      </c>
      <c r="AH47">
        <v>2</v>
      </c>
      <c r="AI47">
        <v>34765080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34765081</v>
      </c>
      <c r="C48">
        <v>34763871</v>
      </c>
      <c r="D48">
        <v>31441084</v>
      </c>
      <c r="E48">
        <v>17</v>
      </c>
      <c r="F48">
        <v>1</v>
      </c>
      <c r="G48">
        <v>1</v>
      </c>
      <c r="H48">
        <v>3</v>
      </c>
      <c r="I48" t="s">
        <v>303</v>
      </c>
      <c r="J48" t="s">
        <v>5</v>
      </c>
      <c r="K48" t="s">
        <v>43</v>
      </c>
      <c r="L48">
        <v>1348</v>
      </c>
      <c r="N48">
        <v>1009</v>
      </c>
      <c r="O48" t="s">
        <v>44</v>
      </c>
      <c r="P48" t="s">
        <v>44</v>
      </c>
      <c r="Q48">
        <v>1000</v>
      </c>
      <c r="X48">
        <v>1.2E-2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 t="s">
        <v>5</v>
      </c>
      <c r="AG48">
        <v>1.2E-2</v>
      </c>
      <c r="AH48">
        <v>3</v>
      </c>
      <c r="AI48">
        <v>-1</v>
      </c>
      <c r="AJ48" t="s">
        <v>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34765082</v>
      </c>
      <c r="C49">
        <v>34763871</v>
      </c>
      <c r="D49">
        <v>31481587</v>
      </c>
      <c r="E49">
        <v>1</v>
      </c>
      <c r="F49">
        <v>1</v>
      </c>
      <c r="G49">
        <v>1</v>
      </c>
      <c r="H49">
        <v>3</v>
      </c>
      <c r="I49" t="s">
        <v>262</v>
      </c>
      <c r="J49" t="s">
        <v>263</v>
      </c>
      <c r="K49" t="s">
        <v>264</v>
      </c>
      <c r="L49">
        <v>1346</v>
      </c>
      <c r="N49">
        <v>1009</v>
      </c>
      <c r="O49" t="s">
        <v>265</v>
      </c>
      <c r="P49" t="s">
        <v>265</v>
      </c>
      <c r="Q49">
        <v>1</v>
      </c>
      <c r="X49">
        <v>1.4</v>
      </c>
      <c r="Y49">
        <v>8.09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5</v>
      </c>
      <c r="AG49">
        <v>1.4</v>
      </c>
      <c r="AH49">
        <v>2</v>
      </c>
      <c r="AI49">
        <v>34765082</v>
      </c>
      <c r="AJ49">
        <v>38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ROW(Source!A33)</f>
        <v>33</v>
      </c>
      <c r="B50">
        <v>34765074</v>
      </c>
      <c r="C50">
        <v>34763871</v>
      </c>
      <c r="D50">
        <v>31709863</v>
      </c>
      <c r="E50">
        <v>1</v>
      </c>
      <c r="F50">
        <v>1</v>
      </c>
      <c r="G50">
        <v>1</v>
      </c>
      <c r="H50">
        <v>1</v>
      </c>
      <c r="I50" t="s">
        <v>248</v>
      </c>
      <c r="J50" t="s">
        <v>5</v>
      </c>
      <c r="K50" t="s">
        <v>249</v>
      </c>
      <c r="L50">
        <v>1191</v>
      </c>
      <c r="N50">
        <v>1013</v>
      </c>
      <c r="O50" t="s">
        <v>224</v>
      </c>
      <c r="P50" t="s">
        <v>224</v>
      </c>
      <c r="Q50">
        <v>1</v>
      </c>
      <c r="X50">
        <v>24.05</v>
      </c>
      <c r="Y50">
        <v>0</v>
      </c>
      <c r="Z50">
        <v>0</v>
      </c>
      <c r="AA50">
        <v>0</v>
      </c>
      <c r="AB50">
        <v>8.5299999999999994</v>
      </c>
      <c r="AC50">
        <v>0</v>
      </c>
      <c r="AD50">
        <v>1</v>
      </c>
      <c r="AE50">
        <v>1</v>
      </c>
      <c r="AF50" t="s">
        <v>5</v>
      </c>
      <c r="AG50">
        <v>24.05</v>
      </c>
      <c r="AH50">
        <v>2</v>
      </c>
      <c r="AI50">
        <v>34765074</v>
      </c>
      <c r="AJ50">
        <v>40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ROW(Source!A33)</f>
        <v>33</v>
      </c>
      <c r="B51">
        <v>34765075</v>
      </c>
      <c r="C51">
        <v>34763871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225</v>
      </c>
      <c r="J51" t="s">
        <v>5</v>
      </c>
      <c r="K51" t="s">
        <v>226</v>
      </c>
      <c r="L51">
        <v>1191</v>
      </c>
      <c r="N51">
        <v>1013</v>
      </c>
      <c r="O51" t="s">
        <v>224</v>
      </c>
      <c r="P51" t="s">
        <v>224</v>
      </c>
      <c r="Q51">
        <v>1</v>
      </c>
      <c r="X51">
        <v>0.01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5</v>
      </c>
      <c r="AG51">
        <v>0.01</v>
      </c>
      <c r="AH51">
        <v>2</v>
      </c>
      <c r="AI51">
        <v>34765075</v>
      </c>
      <c r="AJ51">
        <v>41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ROW(Source!A33)</f>
        <v>33</v>
      </c>
      <c r="B52">
        <v>34765076</v>
      </c>
      <c r="C52">
        <v>34763871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227</v>
      </c>
      <c r="J52" t="s">
        <v>228</v>
      </c>
      <c r="K52" t="s">
        <v>229</v>
      </c>
      <c r="L52">
        <v>1368</v>
      </c>
      <c r="N52">
        <v>1011</v>
      </c>
      <c r="O52" t="s">
        <v>230</v>
      </c>
      <c r="P52" t="s">
        <v>230</v>
      </c>
      <c r="Q52">
        <v>1</v>
      </c>
      <c r="X52">
        <v>0.01</v>
      </c>
      <c r="Y52">
        <v>0</v>
      </c>
      <c r="Z52">
        <v>65.709999999999994</v>
      </c>
      <c r="AA52">
        <v>11.6</v>
      </c>
      <c r="AB52">
        <v>0</v>
      </c>
      <c r="AC52">
        <v>0</v>
      </c>
      <c r="AD52">
        <v>1</v>
      </c>
      <c r="AE52">
        <v>0</v>
      </c>
      <c r="AF52" t="s">
        <v>5</v>
      </c>
      <c r="AG52">
        <v>0.01</v>
      </c>
      <c r="AH52">
        <v>2</v>
      </c>
      <c r="AI52">
        <v>34765076</v>
      </c>
      <c r="AJ52">
        <v>42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ROW(Source!A33)</f>
        <v>33</v>
      </c>
      <c r="B53">
        <v>34765077</v>
      </c>
      <c r="C53">
        <v>34763871</v>
      </c>
      <c r="D53">
        <v>31444415</v>
      </c>
      <c r="E53">
        <v>1</v>
      </c>
      <c r="F53">
        <v>1</v>
      </c>
      <c r="G53">
        <v>1</v>
      </c>
      <c r="H53">
        <v>3</v>
      </c>
      <c r="I53" t="s">
        <v>250</v>
      </c>
      <c r="J53" t="s">
        <v>251</v>
      </c>
      <c r="K53" t="s">
        <v>252</v>
      </c>
      <c r="L53">
        <v>1348</v>
      </c>
      <c r="N53">
        <v>1009</v>
      </c>
      <c r="O53" t="s">
        <v>44</v>
      </c>
      <c r="P53" t="s">
        <v>44</v>
      </c>
      <c r="Q53">
        <v>1000</v>
      </c>
      <c r="X53">
        <v>1.2E-2</v>
      </c>
      <c r="Y53">
        <v>3210.5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5</v>
      </c>
      <c r="AG53">
        <v>1.2E-2</v>
      </c>
      <c r="AH53">
        <v>2</v>
      </c>
      <c r="AI53">
        <v>34765077</v>
      </c>
      <c r="AJ53">
        <v>43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34765078</v>
      </c>
      <c r="C54">
        <v>34763871</v>
      </c>
      <c r="D54">
        <v>31446826</v>
      </c>
      <c r="E54">
        <v>1</v>
      </c>
      <c r="F54">
        <v>1</v>
      </c>
      <c r="G54">
        <v>1</v>
      </c>
      <c r="H54">
        <v>3</v>
      </c>
      <c r="I54" t="s">
        <v>253</v>
      </c>
      <c r="J54" t="s">
        <v>254</v>
      </c>
      <c r="K54" t="s">
        <v>255</v>
      </c>
      <c r="L54">
        <v>1348</v>
      </c>
      <c r="N54">
        <v>1009</v>
      </c>
      <c r="O54" t="s">
        <v>44</v>
      </c>
      <c r="P54" t="s">
        <v>44</v>
      </c>
      <c r="Q54">
        <v>1000</v>
      </c>
      <c r="X54">
        <v>3.0000000000000001E-3</v>
      </c>
      <c r="Y54">
        <v>16385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5</v>
      </c>
      <c r="AG54">
        <v>3.0000000000000001E-3</v>
      </c>
      <c r="AH54">
        <v>2</v>
      </c>
      <c r="AI54">
        <v>34765078</v>
      </c>
      <c r="AJ54">
        <v>44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34765079</v>
      </c>
      <c r="C55">
        <v>34763871</v>
      </c>
      <c r="D55">
        <v>31447124</v>
      </c>
      <c r="E55">
        <v>1</v>
      </c>
      <c r="F55">
        <v>1</v>
      </c>
      <c r="G55">
        <v>1</v>
      </c>
      <c r="H55">
        <v>3</v>
      </c>
      <c r="I55" t="s">
        <v>256</v>
      </c>
      <c r="J55" t="s">
        <v>257</v>
      </c>
      <c r="K55" t="s">
        <v>258</v>
      </c>
      <c r="L55">
        <v>1348</v>
      </c>
      <c r="N55">
        <v>1009</v>
      </c>
      <c r="O55" t="s">
        <v>44</v>
      </c>
      <c r="P55" t="s">
        <v>44</v>
      </c>
      <c r="Q55">
        <v>1000</v>
      </c>
      <c r="X55">
        <v>1.2E-2</v>
      </c>
      <c r="Y55">
        <v>586.47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5</v>
      </c>
      <c r="AG55">
        <v>1.2E-2</v>
      </c>
      <c r="AH55">
        <v>2</v>
      </c>
      <c r="AI55">
        <v>34765079</v>
      </c>
      <c r="AJ55">
        <v>45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34765080</v>
      </c>
      <c r="C56">
        <v>34763871</v>
      </c>
      <c r="D56">
        <v>31451016</v>
      </c>
      <c r="E56">
        <v>1</v>
      </c>
      <c r="F56">
        <v>1</v>
      </c>
      <c r="G56">
        <v>1</v>
      </c>
      <c r="H56">
        <v>3</v>
      </c>
      <c r="I56" t="s">
        <v>259</v>
      </c>
      <c r="J56" t="s">
        <v>260</v>
      </c>
      <c r="K56" t="s">
        <v>261</v>
      </c>
      <c r="L56">
        <v>1339</v>
      </c>
      <c r="N56">
        <v>1007</v>
      </c>
      <c r="O56" t="s">
        <v>242</v>
      </c>
      <c r="P56" t="s">
        <v>242</v>
      </c>
      <c r="Q56">
        <v>1</v>
      </c>
      <c r="X56">
        <v>4.7000000000000002E-3</v>
      </c>
      <c r="Y56">
        <v>74.58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5</v>
      </c>
      <c r="AG56">
        <v>4.7000000000000002E-3</v>
      </c>
      <c r="AH56">
        <v>2</v>
      </c>
      <c r="AI56">
        <v>34765080</v>
      </c>
      <c r="AJ56">
        <v>46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34765081</v>
      </c>
      <c r="C57">
        <v>34763871</v>
      </c>
      <c r="D57">
        <v>31441084</v>
      </c>
      <c r="E57">
        <v>17</v>
      </c>
      <c r="F57">
        <v>1</v>
      </c>
      <c r="G57">
        <v>1</v>
      </c>
      <c r="H57">
        <v>3</v>
      </c>
      <c r="I57" t="s">
        <v>303</v>
      </c>
      <c r="J57" t="s">
        <v>5</v>
      </c>
      <c r="K57" t="s">
        <v>43</v>
      </c>
      <c r="L57">
        <v>1348</v>
      </c>
      <c r="N57">
        <v>1009</v>
      </c>
      <c r="O57" t="s">
        <v>44</v>
      </c>
      <c r="P57" t="s">
        <v>44</v>
      </c>
      <c r="Q57">
        <v>1000</v>
      </c>
      <c r="X57">
        <v>1.2E-2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 t="s">
        <v>5</v>
      </c>
      <c r="AG57">
        <v>1.2E-2</v>
      </c>
      <c r="AH57">
        <v>3</v>
      </c>
      <c r="AI57">
        <v>-1</v>
      </c>
      <c r="AJ57" t="s">
        <v>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34765082</v>
      </c>
      <c r="C58">
        <v>34763871</v>
      </c>
      <c r="D58">
        <v>31481587</v>
      </c>
      <c r="E58">
        <v>1</v>
      </c>
      <c r="F58">
        <v>1</v>
      </c>
      <c r="G58">
        <v>1</v>
      </c>
      <c r="H58">
        <v>3</v>
      </c>
      <c r="I58" t="s">
        <v>262</v>
      </c>
      <c r="J58" t="s">
        <v>263</v>
      </c>
      <c r="K58" t="s">
        <v>264</v>
      </c>
      <c r="L58">
        <v>1346</v>
      </c>
      <c r="N58">
        <v>1009</v>
      </c>
      <c r="O58" t="s">
        <v>265</v>
      </c>
      <c r="P58" t="s">
        <v>265</v>
      </c>
      <c r="Q58">
        <v>1</v>
      </c>
      <c r="X58">
        <v>1.4</v>
      </c>
      <c r="Y58">
        <v>8.09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5</v>
      </c>
      <c r="AG58">
        <v>1.4</v>
      </c>
      <c r="AH58">
        <v>2</v>
      </c>
      <c r="AI58">
        <v>34765082</v>
      </c>
      <c r="AJ58">
        <v>47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ROW(Source!A36)</f>
        <v>36</v>
      </c>
      <c r="B59">
        <v>34765084</v>
      </c>
      <c r="C59">
        <v>34763882</v>
      </c>
      <c r="D59">
        <v>31709613</v>
      </c>
      <c r="E59">
        <v>1</v>
      </c>
      <c r="F59">
        <v>1</v>
      </c>
      <c r="G59">
        <v>1</v>
      </c>
      <c r="H59">
        <v>1</v>
      </c>
      <c r="I59" t="s">
        <v>266</v>
      </c>
      <c r="J59" t="s">
        <v>5</v>
      </c>
      <c r="K59" t="s">
        <v>267</v>
      </c>
      <c r="L59">
        <v>1191</v>
      </c>
      <c r="N59">
        <v>1013</v>
      </c>
      <c r="O59" t="s">
        <v>224</v>
      </c>
      <c r="P59" t="s">
        <v>224</v>
      </c>
      <c r="Q59">
        <v>1</v>
      </c>
      <c r="X59">
        <v>9.1</v>
      </c>
      <c r="Y59">
        <v>0</v>
      </c>
      <c r="Z59">
        <v>0</v>
      </c>
      <c r="AA59">
        <v>0</v>
      </c>
      <c r="AB59">
        <v>7.8</v>
      </c>
      <c r="AC59">
        <v>0</v>
      </c>
      <c r="AD59">
        <v>1</v>
      </c>
      <c r="AE59">
        <v>1</v>
      </c>
      <c r="AF59" t="s">
        <v>5</v>
      </c>
      <c r="AG59">
        <v>9.1</v>
      </c>
      <c r="AH59">
        <v>2</v>
      </c>
      <c r="AI59">
        <v>34765084</v>
      </c>
      <c r="AJ59">
        <v>49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ROW(Source!A36)</f>
        <v>36</v>
      </c>
      <c r="B60">
        <v>34765085</v>
      </c>
      <c r="C60">
        <v>34763882</v>
      </c>
      <c r="D60">
        <v>31526951</v>
      </c>
      <c r="E60">
        <v>1</v>
      </c>
      <c r="F60">
        <v>1</v>
      </c>
      <c r="G60">
        <v>1</v>
      </c>
      <c r="H60">
        <v>2</v>
      </c>
      <c r="I60" t="s">
        <v>236</v>
      </c>
      <c r="J60" t="s">
        <v>237</v>
      </c>
      <c r="K60" t="s">
        <v>238</v>
      </c>
      <c r="L60">
        <v>1368</v>
      </c>
      <c r="N60">
        <v>1011</v>
      </c>
      <c r="O60" t="s">
        <v>230</v>
      </c>
      <c r="P60" t="s">
        <v>230</v>
      </c>
      <c r="Q60">
        <v>1</v>
      </c>
      <c r="X60">
        <v>0.12</v>
      </c>
      <c r="Y60">
        <v>0</v>
      </c>
      <c r="Z60">
        <v>1.7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5</v>
      </c>
      <c r="AG60">
        <v>0.12</v>
      </c>
      <c r="AH60">
        <v>2</v>
      </c>
      <c r="AI60">
        <v>34765085</v>
      </c>
      <c r="AJ60">
        <v>50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ROW(Source!A36)</f>
        <v>36</v>
      </c>
      <c r="B61">
        <v>34765086</v>
      </c>
      <c r="C61">
        <v>34763882</v>
      </c>
      <c r="D61">
        <v>31443675</v>
      </c>
      <c r="E61">
        <v>17</v>
      </c>
      <c r="F61">
        <v>1</v>
      </c>
      <c r="G61">
        <v>1</v>
      </c>
      <c r="H61">
        <v>3</v>
      </c>
      <c r="I61" t="s">
        <v>301</v>
      </c>
      <c r="J61" t="s">
        <v>5</v>
      </c>
      <c r="K61" t="s">
        <v>302</v>
      </c>
      <c r="L61">
        <v>1348</v>
      </c>
      <c r="N61">
        <v>1009</v>
      </c>
      <c r="O61" t="s">
        <v>44</v>
      </c>
      <c r="P61" t="s">
        <v>44</v>
      </c>
      <c r="Q61">
        <v>1000</v>
      </c>
      <c r="X61">
        <v>0.12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 t="s">
        <v>5</v>
      </c>
      <c r="AG61">
        <v>0.12</v>
      </c>
      <c r="AH61">
        <v>3</v>
      </c>
      <c r="AI61">
        <v>-1</v>
      </c>
      <c r="AJ61" t="s">
        <v>5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ROW(Source!A37)</f>
        <v>37</v>
      </c>
      <c r="B62">
        <v>34765084</v>
      </c>
      <c r="C62">
        <v>34763882</v>
      </c>
      <c r="D62">
        <v>31709613</v>
      </c>
      <c r="E62">
        <v>1</v>
      </c>
      <c r="F62">
        <v>1</v>
      </c>
      <c r="G62">
        <v>1</v>
      </c>
      <c r="H62">
        <v>1</v>
      </c>
      <c r="I62" t="s">
        <v>266</v>
      </c>
      <c r="J62" t="s">
        <v>5</v>
      </c>
      <c r="K62" t="s">
        <v>267</v>
      </c>
      <c r="L62">
        <v>1191</v>
      </c>
      <c r="N62">
        <v>1013</v>
      </c>
      <c r="O62" t="s">
        <v>224</v>
      </c>
      <c r="P62" t="s">
        <v>224</v>
      </c>
      <c r="Q62">
        <v>1</v>
      </c>
      <c r="X62">
        <v>9.1</v>
      </c>
      <c r="Y62">
        <v>0</v>
      </c>
      <c r="Z62">
        <v>0</v>
      </c>
      <c r="AA62">
        <v>0</v>
      </c>
      <c r="AB62">
        <v>7.8</v>
      </c>
      <c r="AC62">
        <v>0</v>
      </c>
      <c r="AD62">
        <v>1</v>
      </c>
      <c r="AE62">
        <v>1</v>
      </c>
      <c r="AF62" t="s">
        <v>5</v>
      </c>
      <c r="AG62">
        <v>9.1</v>
      </c>
      <c r="AH62">
        <v>2</v>
      </c>
      <c r="AI62">
        <v>34765084</v>
      </c>
      <c r="AJ62">
        <v>51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ROW(Source!A37)</f>
        <v>37</v>
      </c>
      <c r="B63">
        <v>34765085</v>
      </c>
      <c r="C63">
        <v>34763882</v>
      </c>
      <c r="D63">
        <v>31526951</v>
      </c>
      <c r="E63">
        <v>1</v>
      </c>
      <c r="F63">
        <v>1</v>
      </c>
      <c r="G63">
        <v>1</v>
      </c>
      <c r="H63">
        <v>2</v>
      </c>
      <c r="I63" t="s">
        <v>236</v>
      </c>
      <c r="J63" t="s">
        <v>237</v>
      </c>
      <c r="K63" t="s">
        <v>238</v>
      </c>
      <c r="L63">
        <v>1368</v>
      </c>
      <c r="N63">
        <v>1011</v>
      </c>
      <c r="O63" t="s">
        <v>230</v>
      </c>
      <c r="P63" t="s">
        <v>230</v>
      </c>
      <c r="Q63">
        <v>1</v>
      </c>
      <c r="X63">
        <v>0.12</v>
      </c>
      <c r="Y63">
        <v>0</v>
      </c>
      <c r="Z63">
        <v>1.7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5</v>
      </c>
      <c r="AG63">
        <v>0.12</v>
      </c>
      <c r="AH63">
        <v>2</v>
      </c>
      <c r="AI63">
        <v>34765085</v>
      </c>
      <c r="AJ63">
        <v>52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ROW(Source!A37)</f>
        <v>37</v>
      </c>
      <c r="B64">
        <v>34765086</v>
      </c>
      <c r="C64">
        <v>34763882</v>
      </c>
      <c r="D64">
        <v>31443675</v>
      </c>
      <c r="E64">
        <v>17</v>
      </c>
      <c r="F64">
        <v>1</v>
      </c>
      <c r="G64">
        <v>1</v>
      </c>
      <c r="H64">
        <v>3</v>
      </c>
      <c r="I64" t="s">
        <v>301</v>
      </c>
      <c r="J64" t="s">
        <v>5</v>
      </c>
      <c r="K64" t="s">
        <v>302</v>
      </c>
      <c r="L64">
        <v>1348</v>
      </c>
      <c r="N64">
        <v>1009</v>
      </c>
      <c r="O64" t="s">
        <v>44</v>
      </c>
      <c r="P64" t="s">
        <v>44</v>
      </c>
      <c r="Q64">
        <v>1000</v>
      </c>
      <c r="X64">
        <v>0.12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 t="s">
        <v>5</v>
      </c>
      <c r="AG64">
        <v>0.12</v>
      </c>
      <c r="AH64">
        <v>3</v>
      </c>
      <c r="AI64">
        <v>-1</v>
      </c>
      <c r="AJ64" t="s">
        <v>5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ROW(Source!A38)</f>
        <v>38</v>
      </c>
      <c r="B65">
        <v>34765088</v>
      </c>
      <c r="C65">
        <v>34763887</v>
      </c>
      <c r="D65">
        <v>31709863</v>
      </c>
      <c r="E65">
        <v>1</v>
      </c>
      <c r="F65">
        <v>1</v>
      </c>
      <c r="G65">
        <v>1</v>
      </c>
      <c r="H65">
        <v>1</v>
      </c>
      <c r="I65" t="s">
        <v>248</v>
      </c>
      <c r="J65" t="s">
        <v>5</v>
      </c>
      <c r="K65" t="s">
        <v>249</v>
      </c>
      <c r="L65">
        <v>1191</v>
      </c>
      <c r="N65">
        <v>1013</v>
      </c>
      <c r="O65" t="s">
        <v>224</v>
      </c>
      <c r="P65" t="s">
        <v>224</v>
      </c>
      <c r="Q65">
        <v>1</v>
      </c>
      <c r="X65">
        <v>112.75</v>
      </c>
      <c r="Y65">
        <v>0</v>
      </c>
      <c r="Z65">
        <v>0</v>
      </c>
      <c r="AA65">
        <v>0</v>
      </c>
      <c r="AB65">
        <v>8.5299999999999994</v>
      </c>
      <c r="AC65">
        <v>0</v>
      </c>
      <c r="AD65">
        <v>1</v>
      </c>
      <c r="AE65">
        <v>1</v>
      </c>
      <c r="AF65" t="s">
        <v>5</v>
      </c>
      <c r="AG65">
        <v>112.75</v>
      </c>
      <c r="AH65">
        <v>2</v>
      </c>
      <c r="AI65">
        <v>34765088</v>
      </c>
      <c r="AJ65">
        <v>53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ROW(Source!A38)</f>
        <v>38</v>
      </c>
      <c r="B66">
        <v>34765089</v>
      </c>
      <c r="C66">
        <v>34763887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225</v>
      </c>
      <c r="J66" t="s">
        <v>5</v>
      </c>
      <c r="K66" t="s">
        <v>226</v>
      </c>
      <c r="L66">
        <v>1191</v>
      </c>
      <c r="N66">
        <v>1013</v>
      </c>
      <c r="O66" t="s">
        <v>224</v>
      </c>
      <c r="P66" t="s">
        <v>224</v>
      </c>
      <c r="Q66">
        <v>1</v>
      </c>
      <c r="X66">
        <v>0.27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2</v>
      </c>
      <c r="AF66" t="s">
        <v>5</v>
      </c>
      <c r="AG66">
        <v>0.27</v>
      </c>
      <c r="AH66">
        <v>2</v>
      </c>
      <c r="AI66">
        <v>34765089</v>
      </c>
      <c r="AJ66">
        <v>54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34765090</v>
      </c>
      <c r="C67">
        <v>34763887</v>
      </c>
      <c r="D67">
        <v>31526651</v>
      </c>
      <c r="E67">
        <v>1</v>
      </c>
      <c r="F67">
        <v>1</v>
      </c>
      <c r="G67">
        <v>1</v>
      </c>
      <c r="H67">
        <v>2</v>
      </c>
      <c r="I67" t="s">
        <v>268</v>
      </c>
      <c r="J67" t="s">
        <v>269</v>
      </c>
      <c r="K67" t="s">
        <v>270</v>
      </c>
      <c r="L67">
        <v>1368</v>
      </c>
      <c r="N67">
        <v>1011</v>
      </c>
      <c r="O67" t="s">
        <v>230</v>
      </c>
      <c r="P67" t="s">
        <v>230</v>
      </c>
      <c r="Q67">
        <v>1</v>
      </c>
      <c r="X67">
        <v>0.2</v>
      </c>
      <c r="Y67">
        <v>0</v>
      </c>
      <c r="Z67">
        <v>86.4</v>
      </c>
      <c r="AA67">
        <v>13.5</v>
      </c>
      <c r="AB67">
        <v>0</v>
      </c>
      <c r="AC67">
        <v>0</v>
      </c>
      <c r="AD67">
        <v>1</v>
      </c>
      <c r="AE67">
        <v>0</v>
      </c>
      <c r="AF67" t="s">
        <v>5</v>
      </c>
      <c r="AG67">
        <v>0.2</v>
      </c>
      <c r="AH67">
        <v>2</v>
      </c>
      <c r="AI67">
        <v>34765090</v>
      </c>
      <c r="AJ67">
        <v>55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34765091</v>
      </c>
      <c r="C68">
        <v>34763887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227</v>
      </c>
      <c r="J68" t="s">
        <v>228</v>
      </c>
      <c r="K68" t="s">
        <v>229</v>
      </c>
      <c r="L68">
        <v>1368</v>
      </c>
      <c r="N68">
        <v>1011</v>
      </c>
      <c r="O68" t="s">
        <v>230</v>
      </c>
      <c r="P68" t="s">
        <v>230</v>
      </c>
      <c r="Q68">
        <v>1</v>
      </c>
      <c r="X68">
        <v>7.0000000000000007E-2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5</v>
      </c>
      <c r="AG68">
        <v>7.0000000000000007E-2</v>
      </c>
      <c r="AH68">
        <v>2</v>
      </c>
      <c r="AI68">
        <v>34765091</v>
      </c>
      <c r="AJ68">
        <v>56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ROW(Source!A38)</f>
        <v>38</v>
      </c>
      <c r="B69">
        <v>34765092</v>
      </c>
      <c r="C69">
        <v>34763887</v>
      </c>
      <c r="D69">
        <v>31449168</v>
      </c>
      <c r="E69">
        <v>1</v>
      </c>
      <c r="F69">
        <v>1</v>
      </c>
      <c r="G69">
        <v>1</v>
      </c>
      <c r="H69">
        <v>3</v>
      </c>
      <c r="I69" t="s">
        <v>271</v>
      </c>
      <c r="J69" t="s">
        <v>272</v>
      </c>
      <c r="K69" t="s">
        <v>273</v>
      </c>
      <c r="L69">
        <v>1348</v>
      </c>
      <c r="N69">
        <v>1009</v>
      </c>
      <c r="O69" t="s">
        <v>44</v>
      </c>
      <c r="P69" t="s">
        <v>44</v>
      </c>
      <c r="Q69">
        <v>1000</v>
      </c>
      <c r="X69">
        <v>4.0000000000000001E-3</v>
      </c>
      <c r="Y69">
        <v>8475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5</v>
      </c>
      <c r="AG69">
        <v>4.0000000000000001E-3</v>
      </c>
      <c r="AH69">
        <v>2</v>
      </c>
      <c r="AI69">
        <v>34765092</v>
      </c>
      <c r="AJ69">
        <v>57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ROW(Source!A38)</f>
        <v>38</v>
      </c>
      <c r="B70">
        <v>34765093</v>
      </c>
      <c r="C70">
        <v>34763887</v>
      </c>
      <c r="D70">
        <v>31470237</v>
      </c>
      <c r="E70">
        <v>1</v>
      </c>
      <c r="F70">
        <v>1</v>
      </c>
      <c r="G70">
        <v>1</v>
      </c>
      <c r="H70">
        <v>3</v>
      </c>
      <c r="I70" t="s">
        <v>274</v>
      </c>
      <c r="J70" t="s">
        <v>275</v>
      </c>
      <c r="K70" t="s">
        <v>276</v>
      </c>
      <c r="L70">
        <v>1348</v>
      </c>
      <c r="N70">
        <v>1009</v>
      </c>
      <c r="O70" t="s">
        <v>44</v>
      </c>
      <c r="P70" t="s">
        <v>44</v>
      </c>
      <c r="Q70">
        <v>1000</v>
      </c>
      <c r="X70">
        <v>1.2E-2</v>
      </c>
      <c r="Y70">
        <v>8190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5</v>
      </c>
      <c r="AG70">
        <v>1.2E-2</v>
      </c>
      <c r="AH70">
        <v>2</v>
      </c>
      <c r="AI70">
        <v>34765093</v>
      </c>
      <c r="AJ70">
        <v>58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ROW(Source!A38)</f>
        <v>38</v>
      </c>
      <c r="B71">
        <v>34765094</v>
      </c>
      <c r="C71">
        <v>34763887</v>
      </c>
      <c r="D71">
        <v>31470484</v>
      </c>
      <c r="E71">
        <v>1</v>
      </c>
      <c r="F71">
        <v>1</v>
      </c>
      <c r="G71">
        <v>1</v>
      </c>
      <c r="H71">
        <v>3</v>
      </c>
      <c r="I71" t="s">
        <v>277</v>
      </c>
      <c r="J71" t="s">
        <v>278</v>
      </c>
      <c r="K71" t="s">
        <v>279</v>
      </c>
      <c r="L71">
        <v>1348</v>
      </c>
      <c r="N71">
        <v>1009</v>
      </c>
      <c r="O71" t="s">
        <v>44</v>
      </c>
      <c r="P71" t="s">
        <v>44</v>
      </c>
      <c r="Q71">
        <v>1000</v>
      </c>
      <c r="X71">
        <v>0.78200000000000003</v>
      </c>
      <c r="Y71">
        <v>11200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5</v>
      </c>
      <c r="AG71">
        <v>0.78200000000000003</v>
      </c>
      <c r="AH71">
        <v>2</v>
      </c>
      <c r="AI71">
        <v>34765094</v>
      </c>
      <c r="AJ71">
        <v>59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ROW(Source!A39)</f>
        <v>39</v>
      </c>
      <c r="B72">
        <v>34765088</v>
      </c>
      <c r="C72">
        <v>34763887</v>
      </c>
      <c r="D72">
        <v>31709863</v>
      </c>
      <c r="E72">
        <v>1</v>
      </c>
      <c r="F72">
        <v>1</v>
      </c>
      <c r="G72">
        <v>1</v>
      </c>
      <c r="H72">
        <v>1</v>
      </c>
      <c r="I72" t="s">
        <v>248</v>
      </c>
      <c r="J72" t="s">
        <v>5</v>
      </c>
      <c r="K72" t="s">
        <v>249</v>
      </c>
      <c r="L72">
        <v>1191</v>
      </c>
      <c r="N72">
        <v>1013</v>
      </c>
      <c r="O72" t="s">
        <v>224</v>
      </c>
      <c r="P72" t="s">
        <v>224</v>
      </c>
      <c r="Q72">
        <v>1</v>
      </c>
      <c r="X72">
        <v>112.75</v>
      </c>
      <c r="Y72">
        <v>0</v>
      </c>
      <c r="Z72">
        <v>0</v>
      </c>
      <c r="AA72">
        <v>0</v>
      </c>
      <c r="AB72">
        <v>8.5299999999999994</v>
      </c>
      <c r="AC72">
        <v>0</v>
      </c>
      <c r="AD72">
        <v>1</v>
      </c>
      <c r="AE72">
        <v>1</v>
      </c>
      <c r="AF72" t="s">
        <v>5</v>
      </c>
      <c r="AG72">
        <v>112.75</v>
      </c>
      <c r="AH72">
        <v>2</v>
      </c>
      <c r="AI72">
        <v>34765088</v>
      </c>
      <c r="AJ72">
        <v>60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ROW(Source!A39)</f>
        <v>39</v>
      </c>
      <c r="B73">
        <v>34765089</v>
      </c>
      <c r="C73">
        <v>34763887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225</v>
      </c>
      <c r="J73" t="s">
        <v>5</v>
      </c>
      <c r="K73" t="s">
        <v>226</v>
      </c>
      <c r="L73">
        <v>1191</v>
      </c>
      <c r="N73">
        <v>1013</v>
      </c>
      <c r="O73" t="s">
        <v>224</v>
      </c>
      <c r="P73" t="s">
        <v>224</v>
      </c>
      <c r="Q73">
        <v>1</v>
      </c>
      <c r="X73">
        <v>0.27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5</v>
      </c>
      <c r="AG73">
        <v>0.27</v>
      </c>
      <c r="AH73">
        <v>2</v>
      </c>
      <c r="AI73">
        <v>34765089</v>
      </c>
      <c r="AJ73">
        <v>61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ROW(Source!A39)</f>
        <v>39</v>
      </c>
      <c r="B74">
        <v>34765090</v>
      </c>
      <c r="C74">
        <v>34763887</v>
      </c>
      <c r="D74">
        <v>31526651</v>
      </c>
      <c r="E74">
        <v>1</v>
      </c>
      <c r="F74">
        <v>1</v>
      </c>
      <c r="G74">
        <v>1</v>
      </c>
      <c r="H74">
        <v>2</v>
      </c>
      <c r="I74" t="s">
        <v>268</v>
      </c>
      <c r="J74" t="s">
        <v>269</v>
      </c>
      <c r="K74" t="s">
        <v>270</v>
      </c>
      <c r="L74">
        <v>1368</v>
      </c>
      <c r="N74">
        <v>1011</v>
      </c>
      <c r="O74" t="s">
        <v>230</v>
      </c>
      <c r="P74" t="s">
        <v>230</v>
      </c>
      <c r="Q74">
        <v>1</v>
      </c>
      <c r="X74">
        <v>0.2</v>
      </c>
      <c r="Y74">
        <v>0</v>
      </c>
      <c r="Z74">
        <v>86.4</v>
      </c>
      <c r="AA74">
        <v>13.5</v>
      </c>
      <c r="AB74">
        <v>0</v>
      </c>
      <c r="AC74">
        <v>0</v>
      </c>
      <c r="AD74">
        <v>1</v>
      </c>
      <c r="AE74">
        <v>0</v>
      </c>
      <c r="AF74" t="s">
        <v>5</v>
      </c>
      <c r="AG74">
        <v>0.2</v>
      </c>
      <c r="AH74">
        <v>2</v>
      </c>
      <c r="AI74">
        <v>34765090</v>
      </c>
      <c r="AJ74">
        <v>62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ROW(Source!A39)</f>
        <v>39</v>
      </c>
      <c r="B75">
        <v>34765091</v>
      </c>
      <c r="C75">
        <v>34763887</v>
      </c>
      <c r="D75">
        <v>31528142</v>
      </c>
      <c r="E75">
        <v>1</v>
      </c>
      <c r="F75">
        <v>1</v>
      </c>
      <c r="G75">
        <v>1</v>
      </c>
      <c r="H75">
        <v>2</v>
      </c>
      <c r="I75" t="s">
        <v>227</v>
      </c>
      <c r="J75" t="s">
        <v>228</v>
      </c>
      <c r="K75" t="s">
        <v>229</v>
      </c>
      <c r="L75">
        <v>1368</v>
      </c>
      <c r="N75">
        <v>1011</v>
      </c>
      <c r="O75" t="s">
        <v>230</v>
      </c>
      <c r="P75" t="s">
        <v>230</v>
      </c>
      <c r="Q75">
        <v>1</v>
      </c>
      <c r="X75">
        <v>7.0000000000000007E-2</v>
      </c>
      <c r="Y75">
        <v>0</v>
      </c>
      <c r="Z75">
        <v>65.709999999999994</v>
      </c>
      <c r="AA75">
        <v>11.6</v>
      </c>
      <c r="AB75">
        <v>0</v>
      </c>
      <c r="AC75">
        <v>0</v>
      </c>
      <c r="AD75">
        <v>1</v>
      </c>
      <c r="AE75">
        <v>0</v>
      </c>
      <c r="AF75" t="s">
        <v>5</v>
      </c>
      <c r="AG75">
        <v>7.0000000000000007E-2</v>
      </c>
      <c r="AH75">
        <v>2</v>
      </c>
      <c r="AI75">
        <v>34765091</v>
      </c>
      <c r="AJ75">
        <v>63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ROW(Source!A39)</f>
        <v>39</v>
      </c>
      <c r="B76">
        <v>34765092</v>
      </c>
      <c r="C76">
        <v>34763887</v>
      </c>
      <c r="D76">
        <v>31449168</v>
      </c>
      <c r="E76">
        <v>1</v>
      </c>
      <c r="F76">
        <v>1</v>
      </c>
      <c r="G76">
        <v>1</v>
      </c>
      <c r="H76">
        <v>3</v>
      </c>
      <c r="I76" t="s">
        <v>271</v>
      </c>
      <c r="J76" t="s">
        <v>272</v>
      </c>
      <c r="K76" t="s">
        <v>273</v>
      </c>
      <c r="L76">
        <v>1348</v>
      </c>
      <c r="N76">
        <v>1009</v>
      </c>
      <c r="O76" t="s">
        <v>44</v>
      </c>
      <c r="P76" t="s">
        <v>44</v>
      </c>
      <c r="Q76">
        <v>1000</v>
      </c>
      <c r="X76">
        <v>4.0000000000000001E-3</v>
      </c>
      <c r="Y76">
        <v>8475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5</v>
      </c>
      <c r="AG76">
        <v>4.0000000000000001E-3</v>
      </c>
      <c r="AH76">
        <v>2</v>
      </c>
      <c r="AI76">
        <v>34765092</v>
      </c>
      <c r="AJ76">
        <v>64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34765093</v>
      </c>
      <c r="C77">
        <v>34763887</v>
      </c>
      <c r="D77">
        <v>31470237</v>
      </c>
      <c r="E77">
        <v>1</v>
      </c>
      <c r="F77">
        <v>1</v>
      </c>
      <c r="G77">
        <v>1</v>
      </c>
      <c r="H77">
        <v>3</v>
      </c>
      <c r="I77" t="s">
        <v>274</v>
      </c>
      <c r="J77" t="s">
        <v>275</v>
      </c>
      <c r="K77" t="s">
        <v>276</v>
      </c>
      <c r="L77">
        <v>1348</v>
      </c>
      <c r="N77">
        <v>1009</v>
      </c>
      <c r="O77" t="s">
        <v>44</v>
      </c>
      <c r="P77" t="s">
        <v>44</v>
      </c>
      <c r="Q77">
        <v>1000</v>
      </c>
      <c r="X77">
        <v>1.2E-2</v>
      </c>
      <c r="Y77">
        <v>8190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5</v>
      </c>
      <c r="AG77">
        <v>1.2E-2</v>
      </c>
      <c r="AH77">
        <v>2</v>
      </c>
      <c r="AI77">
        <v>34765093</v>
      </c>
      <c r="AJ77">
        <v>65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34765094</v>
      </c>
      <c r="C78">
        <v>34763887</v>
      </c>
      <c r="D78">
        <v>31470484</v>
      </c>
      <c r="E78">
        <v>1</v>
      </c>
      <c r="F78">
        <v>1</v>
      </c>
      <c r="G78">
        <v>1</v>
      </c>
      <c r="H78">
        <v>3</v>
      </c>
      <c r="I78" t="s">
        <v>277</v>
      </c>
      <c r="J78" t="s">
        <v>278</v>
      </c>
      <c r="K78" t="s">
        <v>279</v>
      </c>
      <c r="L78">
        <v>1348</v>
      </c>
      <c r="N78">
        <v>1009</v>
      </c>
      <c r="O78" t="s">
        <v>44</v>
      </c>
      <c r="P78" t="s">
        <v>44</v>
      </c>
      <c r="Q78">
        <v>1000</v>
      </c>
      <c r="X78">
        <v>0.78200000000000003</v>
      </c>
      <c r="Y78">
        <v>11200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5</v>
      </c>
      <c r="AG78">
        <v>0.78200000000000003</v>
      </c>
      <c r="AH78">
        <v>2</v>
      </c>
      <c r="AI78">
        <v>34765094</v>
      </c>
      <c r="AJ78">
        <v>66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34765095</v>
      </c>
      <c r="C79">
        <v>34764167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248</v>
      </c>
      <c r="J79" t="s">
        <v>5</v>
      </c>
      <c r="K79" t="s">
        <v>249</v>
      </c>
      <c r="L79">
        <v>1191</v>
      </c>
      <c r="N79">
        <v>1013</v>
      </c>
      <c r="O79" t="s">
        <v>224</v>
      </c>
      <c r="P79" t="s">
        <v>224</v>
      </c>
      <c r="Q79">
        <v>1</v>
      </c>
      <c r="X79">
        <v>4.9000000000000004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5</v>
      </c>
      <c r="AG79">
        <v>4.9000000000000004</v>
      </c>
      <c r="AH79">
        <v>2</v>
      </c>
      <c r="AI79">
        <v>34765095</v>
      </c>
      <c r="AJ79">
        <v>67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34765096</v>
      </c>
      <c r="C80">
        <v>34764167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225</v>
      </c>
      <c r="J80" t="s">
        <v>5</v>
      </c>
      <c r="K80" t="s">
        <v>226</v>
      </c>
      <c r="L80">
        <v>1191</v>
      </c>
      <c r="N80">
        <v>1013</v>
      </c>
      <c r="O80" t="s">
        <v>224</v>
      </c>
      <c r="P80" t="s">
        <v>224</v>
      </c>
      <c r="Q80">
        <v>1</v>
      </c>
      <c r="X80">
        <v>0.01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5</v>
      </c>
      <c r="AG80">
        <v>0.01</v>
      </c>
      <c r="AH80">
        <v>2</v>
      </c>
      <c r="AI80">
        <v>34765096</v>
      </c>
      <c r="AJ80">
        <v>68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34765097</v>
      </c>
      <c r="C81">
        <v>34764167</v>
      </c>
      <c r="D81">
        <v>31528142</v>
      </c>
      <c r="E81">
        <v>1</v>
      </c>
      <c r="F81">
        <v>1</v>
      </c>
      <c r="G81">
        <v>1</v>
      </c>
      <c r="H81">
        <v>2</v>
      </c>
      <c r="I81" t="s">
        <v>227</v>
      </c>
      <c r="J81" t="s">
        <v>228</v>
      </c>
      <c r="K81" t="s">
        <v>229</v>
      </c>
      <c r="L81">
        <v>1368</v>
      </c>
      <c r="N81">
        <v>1011</v>
      </c>
      <c r="O81" t="s">
        <v>230</v>
      </c>
      <c r="P81" t="s">
        <v>230</v>
      </c>
      <c r="Q81">
        <v>1</v>
      </c>
      <c r="X81">
        <v>0.01</v>
      </c>
      <c r="Y81">
        <v>0</v>
      </c>
      <c r="Z81">
        <v>65.709999999999994</v>
      </c>
      <c r="AA81">
        <v>11.6</v>
      </c>
      <c r="AB81">
        <v>0</v>
      </c>
      <c r="AC81">
        <v>0</v>
      </c>
      <c r="AD81">
        <v>1</v>
      </c>
      <c r="AE81">
        <v>0</v>
      </c>
      <c r="AF81" t="s">
        <v>5</v>
      </c>
      <c r="AG81">
        <v>0.01</v>
      </c>
      <c r="AH81">
        <v>2</v>
      </c>
      <c r="AI81">
        <v>34765097</v>
      </c>
      <c r="AJ81">
        <v>69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34765098</v>
      </c>
      <c r="C82">
        <v>34764167</v>
      </c>
      <c r="D82">
        <v>31449168</v>
      </c>
      <c r="E82">
        <v>1</v>
      </c>
      <c r="F82">
        <v>1</v>
      </c>
      <c r="G82">
        <v>1</v>
      </c>
      <c r="H82">
        <v>3</v>
      </c>
      <c r="I82" t="s">
        <v>271</v>
      </c>
      <c r="J82" t="s">
        <v>272</v>
      </c>
      <c r="K82" t="s">
        <v>273</v>
      </c>
      <c r="L82">
        <v>1348</v>
      </c>
      <c r="N82">
        <v>1009</v>
      </c>
      <c r="O82" t="s">
        <v>44</v>
      </c>
      <c r="P82" t="s">
        <v>44</v>
      </c>
      <c r="Q82">
        <v>1000</v>
      </c>
      <c r="X82">
        <v>1.4E-3</v>
      </c>
      <c r="Y82">
        <v>8475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5</v>
      </c>
      <c r="AG82">
        <v>1.4E-3</v>
      </c>
      <c r="AH82">
        <v>2</v>
      </c>
      <c r="AI82">
        <v>34765098</v>
      </c>
      <c r="AJ82">
        <v>70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ROW(Source!A40)</f>
        <v>40</v>
      </c>
      <c r="B83">
        <v>34765099</v>
      </c>
      <c r="C83">
        <v>34764167</v>
      </c>
      <c r="D83">
        <v>31470484</v>
      </c>
      <c r="E83">
        <v>1</v>
      </c>
      <c r="F83">
        <v>1</v>
      </c>
      <c r="G83">
        <v>1</v>
      </c>
      <c r="H83">
        <v>3</v>
      </c>
      <c r="I83" t="s">
        <v>277</v>
      </c>
      <c r="J83" t="s">
        <v>278</v>
      </c>
      <c r="K83" t="s">
        <v>279</v>
      </c>
      <c r="L83">
        <v>1348</v>
      </c>
      <c r="N83">
        <v>1009</v>
      </c>
      <c r="O83" t="s">
        <v>44</v>
      </c>
      <c r="P83" t="s">
        <v>44</v>
      </c>
      <c r="Q83">
        <v>1000</v>
      </c>
      <c r="X83">
        <v>3.1E-2</v>
      </c>
      <c r="Y83">
        <v>11200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5</v>
      </c>
      <c r="AG83">
        <v>3.1E-2</v>
      </c>
      <c r="AH83">
        <v>2</v>
      </c>
      <c r="AI83">
        <v>34765099</v>
      </c>
      <c r="AJ83">
        <v>71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34765095</v>
      </c>
      <c r="C84">
        <v>34764167</v>
      </c>
      <c r="D84">
        <v>31709863</v>
      </c>
      <c r="E84">
        <v>1</v>
      </c>
      <c r="F84">
        <v>1</v>
      </c>
      <c r="G84">
        <v>1</v>
      </c>
      <c r="H84">
        <v>1</v>
      </c>
      <c r="I84" t="s">
        <v>248</v>
      </c>
      <c r="J84" t="s">
        <v>5</v>
      </c>
      <c r="K84" t="s">
        <v>249</v>
      </c>
      <c r="L84">
        <v>1191</v>
      </c>
      <c r="N84">
        <v>1013</v>
      </c>
      <c r="O84" t="s">
        <v>224</v>
      </c>
      <c r="P84" t="s">
        <v>224</v>
      </c>
      <c r="Q84">
        <v>1</v>
      </c>
      <c r="X84">
        <v>4.9000000000000004</v>
      </c>
      <c r="Y84">
        <v>0</v>
      </c>
      <c r="Z84">
        <v>0</v>
      </c>
      <c r="AA84">
        <v>0</v>
      </c>
      <c r="AB84">
        <v>8.5299999999999994</v>
      </c>
      <c r="AC84">
        <v>0</v>
      </c>
      <c r="AD84">
        <v>1</v>
      </c>
      <c r="AE84">
        <v>1</v>
      </c>
      <c r="AF84" t="s">
        <v>5</v>
      </c>
      <c r="AG84">
        <v>4.9000000000000004</v>
      </c>
      <c r="AH84">
        <v>2</v>
      </c>
      <c r="AI84">
        <v>34765095</v>
      </c>
      <c r="AJ84">
        <v>72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34765096</v>
      </c>
      <c r="C85">
        <v>34764167</v>
      </c>
      <c r="D85">
        <v>31709492</v>
      </c>
      <c r="E85">
        <v>1</v>
      </c>
      <c r="F85">
        <v>1</v>
      </c>
      <c r="G85">
        <v>1</v>
      </c>
      <c r="H85">
        <v>1</v>
      </c>
      <c r="I85" t="s">
        <v>225</v>
      </c>
      <c r="J85" t="s">
        <v>5</v>
      </c>
      <c r="K85" t="s">
        <v>226</v>
      </c>
      <c r="L85">
        <v>1191</v>
      </c>
      <c r="N85">
        <v>1013</v>
      </c>
      <c r="O85" t="s">
        <v>224</v>
      </c>
      <c r="P85" t="s">
        <v>224</v>
      </c>
      <c r="Q85">
        <v>1</v>
      </c>
      <c r="X85">
        <v>0.01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5</v>
      </c>
      <c r="AG85">
        <v>0.01</v>
      </c>
      <c r="AH85">
        <v>2</v>
      </c>
      <c r="AI85">
        <v>34765096</v>
      </c>
      <c r="AJ85">
        <v>73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34765097</v>
      </c>
      <c r="C86">
        <v>34764167</v>
      </c>
      <c r="D86">
        <v>31528142</v>
      </c>
      <c r="E86">
        <v>1</v>
      </c>
      <c r="F86">
        <v>1</v>
      </c>
      <c r="G86">
        <v>1</v>
      </c>
      <c r="H86">
        <v>2</v>
      </c>
      <c r="I86" t="s">
        <v>227</v>
      </c>
      <c r="J86" t="s">
        <v>228</v>
      </c>
      <c r="K86" t="s">
        <v>229</v>
      </c>
      <c r="L86">
        <v>1368</v>
      </c>
      <c r="N86">
        <v>1011</v>
      </c>
      <c r="O86" t="s">
        <v>230</v>
      </c>
      <c r="P86" t="s">
        <v>230</v>
      </c>
      <c r="Q86">
        <v>1</v>
      </c>
      <c r="X86">
        <v>0.01</v>
      </c>
      <c r="Y86">
        <v>0</v>
      </c>
      <c r="Z86">
        <v>65.709999999999994</v>
      </c>
      <c r="AA86">
        <v>11.6</v>
      </c>
      <c r="AB86">
        <v>0</v>
      </c>
      <c r="AC86">
        <v>0</v>
      </c>
      <c r="AD86">
        <v>1</v>
      </c>
      <c r="AE86">
        <v>0</v>
      </c>
      <c r="AF86" t="s">
        <v>5</v>
      </c>
      <c r="AG86">
        <v>0.01</v>
      </c>
      <c r="AH86">
        <v>2</v>
      </c>
      <c r="AI86">
        <v>34765097</v>
      </c>
      <c r="AJ86">
        <v>74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ROW(Source!A41)</f>
        <v>41</v>
      </c>
      <c r="B87">
        <v>34765098</v>
      </c>
      <c r="C87">
        <v>34764167</v>
      </c>
      <c r="D87">
        <v>31449168</v>
      </c>
      <c r="E87">
        <v>1</v>
      </c>
      <c r="F87">
        <v>1</v>
      </c>
      <c r="G87">
        <v>1</v>
      </c>
      <c r="H87">
        <v>3</v>
      </c>
      <c r="I87" t="s">
        <v>271</v>
      </c>
      <c r="J87" t="s">
        <v>272</v>
      </c>
      <c r="K87" t="s">
        <v>273</v>
      </c>
      <c r="L87">
        <v>1348</v>
      </c>
      <c r="N87">
        <v>1009</v>
      </c>
      <c r="O87" t="s">
        <v>44</v>
      </c>
      <c r="P87" t="s">
        <v>44</v>
      </c>
      <c r="Q87">
        <v>1000</v>
      </c>
      <c r="X87">
        <v>1.4E-3</v>
      </c>
      <c r="Y87">
        <v>8475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5</v>
      </c>
      <c r="AG87">
        <v>1.4E-3</v>
      </c>
      <c r="AH87">
        <v>2</v>
      </c>
      <c r="AI87">
        <v>34765098</v>
      </c>
      <c r="AJ87">
        <v>75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ROW(Source!A41)</f>
        <v>41</v>
      </c>
      <c r="B88">
        <v>34765099</v>
      </c>
      <c r="C88">
        <v>34764167</v>
      </c>
      <c r="D88">
        <v>31470484</v>
      </c>
      <c r="E88">
        <v>1</v>
      </c>
      <c r="F88">
        <v>1</v>
      </c>
      <c r="G88">
        <v>1</v>
      </c>
      <c r="H88">
        <v>3</v>
      </c>
      <c r="I88" t="s">
        <v>277</v>
      </c>
      <c r="J88" t="s">
        <v>278</v>
      </c>
      <c r="K88" t="s">
        <v>279</v>
      </c>
      <c r="L88">
        <v>1348</v>
      </c>
      <c r="N88">
        <v>1009</v>
      </c>
      <c r="O88" t="s">
        <v>44</v>
      </c>
      <c r="P88" t="s">
        <v>44</v>
      </c>
      <c r="Q88">
        <v>1000</v>
      </c>
      <c r="X88">
        <v>3.1E-2</v>
      </c>
      <c r="Y88">
        <v>11200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5</v>
      </c>
      <c r="AG88">
        <v>3.1E-2</v>
      </c>
      <c r="AH88">
        <v>2</v>
      </c>
      <c r="AI88">
        <v>34765099</v>
      </c>
      <c r="AJ88">
        <v>76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ROW(Source!A42)</f>
        <v>42</v>
      </c>
      <c r="B89">
        <v>34765100</v>
      </c>
      <c r="C89">
        <v>34763895</v>
      </c>
      <c r="D89">
        <v>31709863</v>
      </c>
      <c r="E89">
        <v>1</v>
      </c>
      <c r="F89">
        <v>1</v>
      </c>
      <c r="G89">
        <v>1</v>
      </c>
      <c r="H89">
        <v>1</v>
      </c>
      <c r="I89" t="s">
        <v>248</v>
      </c>
      <c r="J89" t="s">
        <v>5</v>
      </c>
      <c r="K89" t="s">
        <v>249</v>
      </c>
      <c r="L89">
        <v>1191</v>
      </c>
      <c r="N89">
        <v>1013</v>
      </c>
      <c r="O89" t="s">
        <v>224</v>
      </c>
      <c r="P89" t="s">
        <v>224</v>
      </c>
      <c r="Q89">
        <v>1</v>
      </c>
      <c r="X89">
        <v>65.209999999999994</v>
      </c>
      <c r="Y89">
        <v>0</v>
      </c>
      <c r="Z89">
        <v>0</v>
      </c>
      <c r="AA89">
        <v>0</v>
      </c>
      <c r="AB89">
        <v>8.5299999999999994</v>
      </c>
      <c r="AC89">
        <v>0</v>
      </c>
      <c r="AD89">
        <v>1</v>
      </c>
      <c r="AE89">
        <v>1</v>
      </c>
      <c r="AF89" t="s">
        <v>5</v>
      </c>
      <c r="AG89">
        <v>65.209999999999994</v>
      </c>
      <c r="AH89">
        <v>2</v>
      </c>
      <c r="AI89">
        <v>34765100</v>
      </c>
      <c r="AJ89">
        <v>77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ROW(Source!A42)</f>
        <v>42</v>
      </c>
      <c r="B90">
        <v>34765101</v>
      </c>
      <c r="C90">
        <v>34763895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225</v>
      </c>
      <c r="J90" t="s">
        <v>5</v>
      </c>
      <c r="K90" t="s">
        <v>226</v>
      </c>
      <c r="L90">
        <v>1191</v>
      </c>
      <c r="N90">
        <v>1013</v>
      </c>
      <c r="O90" t="s">
        <v>224</v>
      </c>
      <c r="P90" t="s">
        <v>224</v>
      </c>
      <c r="Q90">
        <v>1</v>
      </c>
      <c r="X90">
        <v>0.08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5</v>
      </c>
      <c r="AG90">
        <v>0.08</v>
      </c>
      <c r="AH90">
        <v>2</v>
      </c>
      <c r="AI90">
        <v>34765101</v>
      </c>
      <c r="AJ90">
        <v>78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ROW(Source!A42)</f>
        <v>42</v>
      </c>
      <c r="B91">
        <v>34765102</v>
      </c>
      <c r="C91">
        <v>34763895</v>
      </c>
      <c r="D91">
        <v>31527047</v>
      </c>
      <c r="E91">
        <v>1</v>
      </c>
      <c r="F91">
        <v>1</v>
      </c>
      <c r="G91">
        <v>1</v>
      </c>
      <c r="H91">
        <v>2</v>
      </c>
      <c r="I91" t="s">
        <v>280</v>
      </c>
      <c r="J91" t="s">
        <v>281</v>
      </c>
      <c r="K91" t="s">
        <v>282</v>
      </c>
      <c r="L91">
        <v>1368</v>
      </c>
      <c r="N91">
        <v>1011</v>
      </c>
      <c r="O91" t="s">
        <v>230</v>
      </c>
      <c r="P91" t="s">
        <v>230</v>
      </c>
      <c r="Q91">
        <v>1</v>
      </c>
      <c r="X91">
        <v>0.05</v>
      </c>
      <c r="Y91">
        <v>0</v>
      </c>
      <c r="Z91">
        <v>31.26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5</v>
      </c>
      <c r="AG91">
        <v>0.05</v>
      </c>
      <c r="AH91">
        <v>2</v>
      </c>
      <c r="AI91">
        <v>34765102</v>
      </c>
      <c r="AJ91">
        <v>79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ROW(Source!A42)</f>
        <v>42</v>
      </c>
      <c r="B92">
        <v>34765103</v>
      </c>
      <c r="C92">
        <v>34763895</v>
      </c>
      <c r="D92">
        <v>31528142</v>
      </c>
      <c r="E92">
        <v>1</v>
      </c>
      <c r="F92">
        <v>1</v>
      </c>
      <c r="G92">
        <v>1</v>
      </c>
      <c r="H92">
        <v>2</v>
      </c>
      <c r="I92" t="s">
        <v>227</v>
      </c>
      <c r="J92" t="s">
        <v>228</v>
      </c>
      <c r="K92" t="s">
        <v>229</v>
      </c>
      <c r="L92">
        <v>1368</v>
      </c>
      <c r="N92">
        <v>1011</v>
      </c>
      <c r="O92" t="s">
        <v>230</v>
      </c>
      <c r="P92" t="s">
        <v>230</v>
      </c>
      <c r="Q92">
        <v>1</v>
      </c>
      <c r="X92">
        <v>0.03</v>
      </c>
      <c r="Y92">
        <v>0</v>
      </c>
      <c r="Z92">
        <v>65.709999999999994</v>
      </c>
      <c r="AA92">
        <v>11.6</v>
      </c>
      <c r="AB92">
        <v>0</v>
      </c>
      <c r="AC92">
        <v>0</v>
      </c>
      <c r="AD92">
        <v>1</v>
      </c>
      <c r="AE92">
        <v>0</v>
      </c>
      <c r="AF92" t="s">
        <v>5</v>
      </c>
      <c r="AG92">
        <v>0.03</v>
      </c>
      <c r="AH92">
        <v>2</v>
      </c>
      <c r="AI92">
        <v>34765103</v>
      </c>
      <c r="AJ92">
        <v>80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ROW(Source!A42)</f>
        <v>42</v>
      </c>
      <c r="B93">
        <v>34765104</v>
      </c>
      <c r="C93">
        <v>34763895</v>
      </c>
      <c r="D93">
        <v>31443675</v>
      </c>
      <c r="E93">
        <v>17</v>
      </c>
      <c r="F93">
        <v>1</v>
      </c>
      <c r="G93">
        <v>1</v>
      </c>
      <c r="H93">
        <v>3</v>
      </c>
      <c r="I93" t="s">
        <v>301</v>
      </c>
      <c r="J93" t="s">
        <v>5</v>
      </c>
      <c r="K93" t="s">
        <v>302</v>
      </c>
      <c r="L93">
        <v>1348</v>
      </c>
      <c r="N93">
        <v>1009</v>
      </c>
      <c r="O93" t="s">
        <v>44</v>
      </c>
      <c r="P93" t="s">
        <v>44</v>
      </c>
      <c r="Q93">
        <v>1000</v>
      </c>
      <c r="X93">
        <v>0.05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 t="s">
        <v>5</v>
      </c>
      <c r="AG93">
        <v>0.05</v>
      </c>
      <c r="AH93">
        <v>3</v>
      </c>
      <c r="AI93">
        <v>-1</v>
      </c>
      <c r="AJ93" t="s">
        <v>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ROW(Source!A42)</f>
        <v>42</v>
      </c>
      <c r="B94">
        <v>34765105</v>
      </c>
      <c r="C94">
        <v>34763895</v>
      </c>
      <c r="D94">
        <v>31449148</v>
      </c>
      <c r="E94">
        <v>1</v>
      </c>
      <c r="F94">
        <v>1</v>
      </c>
      <c r="G94">
        <v>1</v>
      </c>
      <c r="H94">
        <v>3</v>
      </c>
      <c r="I94" t="s">
        <v>283</v>
      </c>
      <c r="J94" t="s">
        <v>284</v>
      </c>
      <c r="K94" t="s">
        <v>285</v>
      </c>
      <c r="L94">
        <v>1348</v>
      </c>
      <c r="N94">
        <v>1009</v>
      </c>
      <c r="O94" t="s">
        <v>44</v>
      </c>
      <c r="P94" t="s">
        <v>44</v>
      </c>
      <c r="Q94">
        <v>1000</v>
      </c>
      <c r="X94">
        <v>0.01</v>
      </c>
      <c r="Y94">
        <v>11978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5</v>
      </c>
      <c r="AG94">
        <v>0.01</v>
      </c>
      <c r="AH94">
        <v>2</v>
      </c>
      <c r="AI94">
        <v>34765105</v>
      </c>
      <c r="AJ94">
        <v>81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ROW(Source!A42)</f>
        <v>42</v>
      </c>
      <c r="B95">
        <v>34765106</v>
      </c>
      <c r="C95">
        <v>34763895</v>
      </c>
      <c r="D95">
        <v>31443679</v>
      </c>
      <c r="E95">
        <v>17</v>
      </c>
      <c r="F95">
        <v>1</v>
      </c>
      <c r="G95">
        <v>1</v>
      </c>
      <c r="H95">
        <v>3</v>
      </c>
      <c r="I95" t="s">
        <v>304</v>
      </c>
      <c r="J95" t="s">
        <v>5</v>
      </c>
      <c r="K95" t="s">
        <v>305</v>
      </c>
      <c r="L95">
        <v>1348</v>
      </c>
      <c r="N95">
        <v>1009</v>
      </c>
      <c r="O95" t="s">
        <v>44</v>
      </c>
      <c r="P95" t="s">
        <v>44</v>
      </c>
      <c r="Q95">
        <v>1000</v>
      </c>
      <c r="X95">
        <v>0.09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 t="s">
        <v>5</v>
      </c>
      <c r="AG95">
        <v>0.09</v>
      </c>
      <c r="AH95">
        <v>3</v>
      </c>
      <c r="AI95">
        <v>-1</v>
      </c>
      <c r="AJ95" t="s">
        <v>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ROW(Source!A43)</f>
        <v>43</v>
      </c>
      <c r="B96">
        <v>34765100</v>
      </c>
      <c r="C96">
        <v>34763895</v>
      </c>
      <c r="D96">
        <v>31709863</v>
      </c>
      <c r="E96">
        <v>1</v>
      </c>
      <c r="F96">
        <v>1</v>
      </c>
      <c r="G96">
        <v>1</v>
      </c>
      <c r="H96">
        <v>1</v>
      </c>
      <c r="I96" t="s">
        <v>248</v>
      </c>
      <c r="J96" t="s">
        <v>5</v>
      </c>
      <c r="K96" t="s">
        <v>249</v>
      </c>
      <c r="L96">
        <v>1191</v>
      </c>
      <c r="N96">
        <v>1013</v>
      </c>
      <c r="O96" t="s">
        <v>224</v>
      </c>
      <c r="P96" t="s">
        <v>224</v>
      </c>
      <c r="Q96">
        <v>1</v>
      </c>
      <c r="X96">
        <v>65.209999999999994</v>
      </c>
      <c r="Y96">
        <v>0</v>
      </c>
      <c r="Z96">
        <v>0</v>
      </c>
      <c r="AA96">
        <v>0</v>
      </c>
      <c r="AB96">
        <v>8.5299999999999994</v>
      </c>
      <c r="AC96">
        <v>0</v>
      </c>
      <c r="AD96">
        <v>1</v>
      </c>
      <c r="AE96">
        <v>1</v>
      </c>
      <c r="AF96" t="s">
        <v>5</v>
      </c>
      <c r="AG96">
        <v>65.209999999999994</v>
      </c>
      <c r="AH96">
        <v>2</v>
      </c>
      <c r="AI96">
        <v>34765100</v>
      </c>
      <c r="AJ96">
        <v>82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ROW(Source!A43)</f>
        <v>43</v>
      </c>
      <c r="B97">
        <v>34765101</v>
      </c>
      <c r="C97">
        <v>34763895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225</v>
      </c>
      <c r="J97" t="s">
        <v>5</v>
      </c>
      <c r="K97" t="s">
        <v>226</v>
      </c>
      <c r="L97">
        <v>1191</v>
      </c>
      <c r="N97">
        <v>1013</v>
      </c>
      <c r="O97" t="s">
        <v>224</v>
      </c>
      <c r="P97" t="s">
        <v>224</v>
      </c>
      <c r="Q97">
        <v>1</v>
      </c>
      <c r="X97">
        <v>0.08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5</v>
      </c>
      <c r="AG97">
        <v>0.08</v>
      </c>
      <c r="AH97">
        <v>2</v>
      </c>
      <c r="AI97">
        <v>34765101</v>
      </c>
      <c r="AJ97">
        <v>83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ROW(Source!A43)</f>
        <v>43</v>
      </c>
      <c r="B98">
        <v>34765102</v>
      </c>
      <c r="C98">
        <v>34763895</v>
      </c>
      <c r="D98">
        <v>31527047</v>
      </c>
      <c r="E98">
        <v>1</v>
      </c>
      <c r="F98">
        <v>1</v>
      </c>
      <c r="G98">
        <v>1</v>
      </c>
      <c r="H98">
        <v>2</v>
      </c>
      <c r="I98" t="s">
        <v>280</v>
      </c>
      <c r="J98" t="s">
        <v>281</v>
      </c>
      <c r="K98" t="s">
        <v>282</v>
      </c>
      <c r="L98">
        <v>1368</v>
      </c>
      <c r="N98">
        <v>1011</v>
      </c>
      <c r="O98" t="s">
        <v>230</v>
      </c>
      <c r="P98" t="s">
        <v>230</v>
      </c>
      <c r="Q98">
        <v>1</v>
      </c>
      <c r="X98">
        <v>0.05</v>
      </c>
      <c r="Y98">
        <v>0</v>
      </c>
      <c r="Z98">
        <v>31.26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5</v>
      </c>
      <c r="AG98">
        <v>0.05</v>
      </c>
      <c r="AH98">
        <v>2</v>
      </c>
      <c r="AI98">
        <v>34765102</v>
      </c>
      <c r="AJ98">
        <v>84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ROW(Source!A43)</f>
        <v>43</v>
      </c>
      <c r="B99">
        <v>34765103</v>
      </c>
      <c r="C99">
        <v>34763895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227</v>
      </c>
      <c r="J99" t="s">
        <v>228</v>
      </c>
      <c r="K99" t="s">
        <v>229</v>
      </c>
      <c r="L99">
        <v>1368</v>
      </c>
      <c r="N99">
        <v>1011</v>
      </c>
      <c r="O99" t="s">
        <v>230</v>
      </c>
      <c r="P99" t="s">
        <v>230</v>
      </c>
      <c r="Q99">
        <v>1</v>
      </c>
      <c r="X99">
        <v>0.03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5</v>
      </c>
      <c r="AG99">
        <v>0.03</v>
      </c>
      <c r="AH99">
        <v>2</v>
      </c>
      <c r="AI99">
        <v>34765103</v>
      </c>
      <c r="AJ99">
        <v>85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ROW(Source!A43)</f>
        <v>43</v>
      </c>
      <c r="B100">
        <v>34765104</v>
      </c>
      <c r="C100">
        <v>34763895</v>
      </c>
      <c r="D100">
        <v>31443675</v>
      </c>
      <c r="E100">
        <v>17</v>
      </c>
      <c r="F100">
        <v>1</v>
      </c>
      <c r="G100">
        <v>1</v>
      </c>
      <c r="H100">
        <v>3</v>
      </c>
      <c r="I100" t="s">
        <v>301</v>
      </c>
      <c r="J100" t="s">
        <v>5</v>
      </c>
      <c r="K100" t="s">
        <v>302</v>
      </c>
      <c r="L100">
        <v>1348</v>
      </c>
      <c r="N100">
        <v>1009</v>
      </c>
      <c r="O100" t="s">
        <v>44</v>
      </c>
      <c r="P100" t="s">
        <v>44</v>
      </c>
      <c r="Q100">
        <v>1000</v>
      </c>
      <c r="X100">
        <v>0.05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 t="s">
        <v>5</v>
      </c>
      <c r="AG100">
        <v>0.05</v>
      </c>
      <c r="AH100">
        <v>3</v>
      </c>
      <c r="AI100">
        <v>-1</v>
      </c>
      <c r="AJ100" t="s">
        <v>5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ROW(Source!A43)</f>
        <v>43</v>
      </c>
      <c r="B101">
        <v>34765105</v>
      </c>
      <c r="C101">
        <v>34763895</v>
      </c>
      <c r="D101">
        <v>31449148</v>
      </c>
      <c r="E101">
        <v>1</v>
      </c>
      <c r="F101">
        <v>1</v>
      </c>
      <c r="G101">
        <v>1</v>
      </c>
      <c r="H101">
        <v>3</v>
      </c>
      <c r="I101" t="s">
        <v>283</v>
      </c>
      <c r="J101" t="s">
        <v>284</v>
      </c>
      <c r="K101" t="s">
        <v>285</v>
      </c>
      <c r="L101">
        <v>1348</v>
      </c>
      <c r="N101">
        <v>1009</v>
      </c>
      <c r="O101" t="s">
        <v>44</v>
      </c>
      <c r="P101" t="s">
        <v>44</v>
      </c>
      <c r="Q101">
        <v>1000</v>
      </c>
      <c r="X101">
        <v>0.01</v>
      </c>
      <c r="Y101">
        <v>11978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5</v>
      </c>
      <c r="AG101">
        <v>0.01</v>
      </c>
      <c r="AH101">
        <v>2</v>
      </c>
      <c r="AI101">
        <v>34765105</v>
      </c>
      <c r="AJ101">
        <v>86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ROW(Source!A43)</f>
        <v>43</v>
      </c>
      <c r="B102">
        <v>34765106</v>
      </c>
      <c r="C102">
        <v>34763895</v>
      </c>
      <c r="D102">
        <v>31443679</v>
      </c>
      <c r="E102">
        <v>17</v>
      </c>
      <c r="F102">
        <v>1</v>
      </c>
      <c r="G102">
        <v>1</v>
      </c>
      <c r="H102">
        <v>3</v>
      </c>
      <c r="I102" t="s">
        <v>304</v>
      </c>
      <c r="J102" t="s">
        <v>5</v>
      </c>
      <c r="K102" t="s">
        <v>305</v>
      </c>
      <c r="L102">
        <v>1348</v>
      </c>
      <c r="N102">
        <v>1009</v>
      </c>
      <c r="O102" t="s">
        <v>44</v>
      </c>
      <c r="P102" t="s">
        <v>44</v>
      </c>
      <c r="Q102">
        <v>1000</v>
      </c>
      <c r="X102">
        <v>0.09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 t="s">
        <v>5</v>
      </c>
      <c r="AG102">
        <v>0.09</v>
      </c>
      <c r="AH102">
        <v>3</v>
      </c>
      <c r="AI102">
        <v>-1</v>
      </c>
      <c r="AJ102" t="s">
        <v>5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ROW(Source!A44)</f>
        <v>44</v>
      </c>
      <c r="B103">
        <v>34765124</v>
      </c>
      <c r="C103">
        <v>34763930</v>
      </c>
      <c r="D103">
        <v>31714704</v>
      </c>
      <c r="E103">
        <v>1</v>
      </c>
      <c r="F103">
        <v>1</v>
      </c>
      <c r="G103">
        <v>1</v>
      </c>
      <c r="H103">
        <v>1</v>
      </c>
      <c r="I103" t="s">
        <v>286</v>
      </c>
      <c r="J103" t="s">
        <v>5</v>
      </c>
      <c r="K103" t="s">
        <v>287</v>
      </c>
      <c r="L103">
        <v>1191</v>
      </c>
      <c r="N103">
        <v>1013</v>
      </c>
      <c r="O103" t="s">
        <v>224</v>
      </c>
      <c r="P103" t="s">
        <v>224</v>
      </c>
      <c r="Q103">
        <v>1</v>
      </c>
      <c r="X103">
        <v>2.71</v>
      </c>
      <c r="Y103">
        <v>0</v>
      </c>
      <c r="Z103">
        <v>0</v>
      </c>
      <c r="AA103">
        <v>0</v>
      </c>
      <c r="AB103">
        <v>8.9700000000000006</v>
      </c>
      <c r="AC103">
        <v>0</v>
      </c>
      <c r="AD103">
        <v>1</v>
      </c>
      <c r="AE103">
        <v>1</v>
      </c>
      <c r="AF103" t="s">
        <v>5</v>
      </c>
      <c r="AG103">
        <v>2.71</v>
      </c>
      <c r="AH103">
        <v>2</v>
      </c>
      <c r="AI103">
        <v>34765124</v>
      </c>
      <c r="AJ103">
        <v>87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ROW(Source!A44)</f>
        <v>44</v>
      </c>
      <c r="B104">
        <v>34765125</v>
      </c>
      <c r="C104">
        <v>34763930</v>
      </c>
      <c r="D104">
        <v>31446395</v>
      </c>
      <c r="E104">
        <v>1</v>
      </c>
      <c r="F104">
        <v>1</v>
      </c>
      <c r="G104">
        <v>1</v>
      </c>
      <c r="H104">
        <v>3</v>
      </c>
      <c r="I104" t="s">
        <v>239</v>
      </c>
      <c r="J104" t="s">
        <v>240</v>
      </c>
      <c r="K104" t="s">
        <v>241</v>
      </c>
      <c r="L104">
        <v>1339</v>
      </c>
      <c r="N104">
        <v>1007</v>
      </c>
      <c r="O104" t="s">
        <v>242</v>
      </c>
      <c r="P104" t="s">
        <v>242</v>
      </c>
      <c r="Q104">
        <v>1</v>
      </c>
      <c r="X104">
        <v>0.01</v>
      </c>
      <c r="Y104">
        <v>2.44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5</v>
      </c>
      <c r="AG104">
        <v>0.01</v>
      </c>
      <c r="AH104">
        <v>2</v>
      </c>
      <c r="AI104">
        <v>34765125</v>
      </c>
      <c r="AJ104">
        <v>88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ROW(Source!A44)</f>
        <v>44</v>
      </c>
      <c r="B105">
        <v>34765126</v>
      </c>
      <c r="C105">
        <v>34763930</v>
      </c>
      <c r="D105">
        <v>31440812</v>
      </c>
      <c r="E105">
        <v>17</v>
      </c>
      <c r="F105">
        <v>1</v>
      </c>
      <c r="G105">
        <v>1</v>
      </c>
      <c r="H105">
        <v>3</v>
      </c>
      <c r="I105" t="s">
        <v>306</v>
      </c>
      <c r="J105" t="s">
        <v>5</v>
      </c>
      <c r="K105" t="s">
        <v>307</v>
      </c>
      <c r="L105">
        <v>1339</v>
      </c>
      <c r="N105">
        <v>1007</v>
      </c>
      <c r="O105" t="s">
        <v>242</v>
      </c>
      <c r="P105" t="s">
        <v>242</v>
      </c>
      <c r="Q105">
        <v>1</v>
      </c>
      <c r="X105">
        <v>0.02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 t="s">
        <v>5</v>
      </c>
      <c r="AG105">
        <v>0.02</v>
      </c>
      <c r="AH105">
        <v>3</v>
      </c>
      <c r="AI105">
        <v>-1</v>
      </c>
      <c r="AJ105" t="s">
        <v>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ROW(Source!A45)</f>
        <v>45</v>
      </c>
      <c r="B106">
        <v>34765124</v>
      </c>
      <c r="C106">
        <v>34763930</v>
      </c>
      <c r="D106">
        <v>31714704</v>
      </c>
      <c r="E106">
        <v>1</v>
      </c>
      <c r="F106">
        <v>1</v>
      </c>
      <c r="G106">
        <v>1</v>
      </c>
      <c r="H106">
        <v>1</v>
      </c>
      <c r="I106" t="s">
        <v>286</v>
      </c>
      <c r="J106" t="s">
        <v>5</v>
      </c>
      <c r="K106" t="s">
        <v>287</v>
      </c>
      <c r="L106">
        <v>1191</v>
      </c>
      <c r="N106">
        <v>1013</v>
      </c>
      <c r="O106" t="s">
        <v>224</v>
      </c>
      <c r="P106" t="s">
        <v>224</v>
      </c>
      <c r="Q106">
        <v>1</v>
      </c>
      <c r="X106">
        <v>2.71</v>
      </c>
      <c r="Y106">
        <v>0</v>
      </c>
      <c r="Z106">
        <v>0</v>
      </c>
      <c r="AA106">
        <v>0</v>
      </c>
      <c r="AB106">
        <v>8.9700000000000006</v>
      </c>
      <c r="AC106">
        <v>0</v>
      </c>
      <c r="AD106">
        <v>1</v>
      </c>
      <c r="AE106">
        <v>1</v>
      </c>
      <c r="AF106" t="s">
        <v>5</v>
      </c>
      <c r="AG106">
        <v>2.71</v>
      </c>
      <c r="AH106">
        <v>2</v>
      </c>
      <c r="AI106">
        <v>34765124</v>
      </c>
      <c r="AJ106">
        <v>89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ROW(Source!A45)</f>
        <v>45</v>
      </c>
      <c r="B107">
        <v>34765125</v>
      </c>
      <c r="C107">
        <v>34763930</v>
      </c>
      <c r="D107">
        <v>31446395</v>
      </c>
      <c r="E107">
        <v>1</v>
      </c>
      <c r="F107">
        <v>1</v>
      </c>
      <c r="G107">
        <v>1</v>
      </c>
      <c r="H107">
        <v>3</v>
      </c>
      <c r="I107" t="s">
        <v>239</v>
      </c>
      <c r="J107" t="s">
        <v>240</v>
      </c>
      <c r="K107" t="s">
        <v>241</v>
      </c>
      <c r="L107">
        <v>1339</v>
      </c>
      <c r="N107">
        <v>1007</v>
      </c>
      <c r="O107" t="s">
        <v>242</v>
      </c>
      <c r="P107" t="s">
        <v>242</v>
      </c>
      <c r="Q107">
        <v>1</v>
      </c>
      <c r="X107">
        <v>0.01</v>
      </c>
      <c r="Y107">
        <v>2.44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5</v>
      </c>
      <c r="AG107">
        <v>0.01</v>
      </c>
      <c r="AH107">
        <v>2</v>
      </c>
      <c r="AI107">
        <v>34765125</v>
      </c>
      <c r="AJ107">
        <v>90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ROW(Source!A45)</f>
        <v>45</v>
      </c>
      <c r="B108">
        <v>34765126</v>
      </c>
      <c r="C108">
        <v>34763930</v>
      </c>
      <c r="D108">
        <v>31440812</v>
      </c>
      <c r="E108">
        <v>17</v>
      </c>
      <c r="F108">
        <v>1</v>
      </c>
      <c r="G108">
        <v>1</v>
      </c>
      <c r="H108">
        <v>3</v>
      </c>
      <c r="I108" t="s">
        <v>306</v>
      </c>
      <c r="J108" t="s">
        <v>5</v>
      </c>
      <c r="K108" t="s">
        <v>307</v>
      </c>
      <c r="L108">
        <v>1339</v>
      </c>
      <c r="N108">
        <v>1007</v>
      </c>
      <c r="O108" t="s">
        <v>242</v>
      </c>
      <c r="P108" t="s">
        <v>242</v>
      </c>
      <c r="Q108">
        <v>1</v>
      </c>
      <c r="X108">
        <v>0.02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 t="s">
        <v>5</v>
      </c>
      <c r="AG108">
        <v>0.02</v>
      </c>
      <c r="AH108">
        <v>3</v>
      </c>
      <c r="AI108">
        <v>-1</v>
      </c>
      <c r="AJ108" t="s">
        <v>5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ROW(Source!A46)</f>
        <v>46</v>
      </c>
      <c r="B109">
        <v>34765137</v>
      </c>
      <c r="C109">
        <v>34764193</v>
      </c>
      <c r="D109">
        <v>31717381</v>
      </c>
      <c r="E109">
        <v>1</v>
      </c>
      <c r="F109">
        <v>1</v>
      </c>
      <c r="G109">
        <v>1</v>
      </c>
      <c r="H109">
        <v>1</v>
      </c>
      <c r="I109" t="s">
        <v>288</v>
      </c>
      <c r="J109" t="s">
        <v>5</v>
      </c>
      <c r="K109" t="s">
        <v>289</v>
      </c>
      <c r="L109">
        <v>1191</v>
      </c>
      <c r="N109">
        <v>1013</v>
      </c>
      <c r="O109" t="s">
        <v>224</v>
      </c>
      <c r="P109" t="s">
        <v>224</v>
      </c>
      <c r="Q109">
        <v>1</v>
      </c>
      <c r="X109">
        <v>166.47</v>
      </c>
      <c r="Y109">
        <v>0</v>
      </c>
      <c r="Z109">
        <v>0</v>
      </c>
      <c r="AA109">
        <v>0</v>
      </c>
      <c r="AB109">
        <v>9.18</v>
      </c>
      <c r="AC109">
        <v>0</v>
      </c>
      <c r="AD109">
        <v>1</v>
      </c>
      <c r="AE109">
        <v>1</v>
      </c>
      <c r="AF109" t="s">
        <v>5</v>
      </c>
      <c r="AG109">
        <v>166.47</v>
      </c>
      <c r="AH109">
        <v>2</v>
      </c>
      <c r="AI109">
        <v>34765137</v>
      </c>
      <c r="AJ109">
        <v>91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ROW(Source!A46)</f>
        <v>46</v>
      </c>
      <c r="B110">
        <v>34765138</v>
      </c>
      <c r="C110">
        <v>34764193</v>
      </c>
      <c r="D110">
        <v>31709492</v>
      </c>
      <c r="E110">
        <v>1</v>
      </c>
      <c r="F110">
        <v>1</v>
      </c>
      <c r="G110">
        <v>1</v>
      </c>
      <c r="H110">
        <v>1</v>
      </c>
      <c r="I110" t="s">
        <v>225</v>
      </c>
      <c r="J110" t="s">
        <v>5</v>
      </c>
      <c r="K110" t="s">
        <v>226</v>
      </c>
      <c r="L110">
        <v>1191</v>
      </c>
      <c r="N110">
        <v>1013</v>
      </c>
      <c r="O110" t="s">
        <v>224</v>
      </c>
      <c r="P110" t="s">
        <v>224</v>
      </c>
      <c r="Q110">
        <v>1</v>
      </c>
      <c r="X110">
        <v>0.57999999999999996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F110" t="s">
        <v>5</v>
      </c>
      <c r="AG110">
        <v>0.57999999999999996</v>
      </c>
      <c r="AH110">
        <v>2</v>
      </c>
      <c r="AI110">
        <v>34765138</v>
      </c>
      <c r="AJ110">
        <v>92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ROW(Source!A46)</f>
        <v>46</v>
      </c>
      <c r="B111">
        <v>34765139</v>
      </c>
      <c r="C111">
        <v>34764193</v>
      </c>
      <c r="D111">
        <v>31527047</v>
      </c>
      <c r="E111">
        <v>1</v>
      </c>
      <c r="F111">
        <v>1</v>
      </c>
      <c r="G111">
        <v>1</v>
      </c>
      <c r="H111">
        <v>2</v>
      </c>
      <c r="I111" t="s">
        <v>280</v>
      </c>
      <c r="J111" t="s">
        <v>281</v>
      </c>
      <c r="K111" t="s">
        <v>282</v>
      </c>
      <c r="L111">
        <v>1368</v>
      </c>
      <c r="N111">
        <v>1011</v>
      </c>
      <c r="O111" t="s">
        <v>230</v>
      </c>
      <c r="P111" t="s">
        <v>230</v>
      </c>
      <c r="Q111">
        <v>1</v>
      </c>
      <c r="X111">
        <v>0.08</v>
      </c>
      <c r="Y111">
        <v>0</v>
      </c>
      <c r="Z111">
        <v>31.26</v>
      </c>
      <c r="AA111">
        <v>13.5</v>
      </c>
      <c r="AB111">
        <v>0</v>
      </c>
      <c r="AC111">
        <v>0</v>
      </c>
      <c r="AD111">
        <v>1</v>
      </c>
      <c r="AE111">
        <v>0</v>
      </c>
      <c r="AF111" t="s">
        <v>5</v>
      </c>
      <c r="AG111">
        <v>0.08</v>
      </c>
      <c r="AH111">
        <v>2</v>
      </c>
      <c r="AI111">
        <v>34765139</v>
      </c>
      <c r="AJ111">
        <v>93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ROW(Source!A46)</f>
        <v>46</v>
      </c>
      <c r="B112">
        <v>34765140</v>
      </c>
      <c r="C112">
        <v>34764193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227</v>
      </c>
      <c r="J112" t="s">
        <v>228</v>
      </c>
      <c r="K112" t="s">
        <v>229</v>
      </c>
      <c r="L112">
        <v>1368</v>
      </c>
      <c r="N112">
        <v>1011</v>
      </c>
      <c r="O112" t="s">
        <v>230</v>
      </c>
      <c r="P112" t="s">
        <v>230</v>
      </c>
      <c r="Q112">
        <v>1</v>
      </c>
      <c r="X112">
        <v>0.5</v>
      </c>
      <c r="Y112">
        <v>0</v>
      </c>
      <c r="Z112">
        <v>65.709999999999994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5</v>
      </c>
      <c r="AG112">
        <v>0.5</v>
      </c>
      <c r="AH112">
        <v>2</v>
      </c>
      <c r="AI112">
        <v>34765140</v>
      </c>
      <c r="AJ112">
        <v>94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ROW(Source!A46)</f>
        <v>46</v>
      </c>
      <c r="B113">
        <v>34765141</v>
      </c>
      <c r="C113">
        <v>34764193</v>
      </c>
      <c r="D113">
        <v>31442108</v>
      </c>
      <c r="E113">
        <v>17</v>
      </c>
      <c r="F113">
        <v>1</v>
      </c>
      <c r="G113">
        <v>1</v>
      </c>
      <c r="H113">
        <v>3</v>
      </c>
      <c r="I113" t="s">
        <v>308</v>
      </c>
      <c r="J113" t="s">
        <v>5</v>
      </c>
      <c r="K113" t="s">
        <v>309</v>
      </c>
      <c r="L113">
        <v>1327</v>
      </c>
      <c r="N113">
        <v>1005</v>
      </c>
      <c r="O113" t="s">
        <v>85</v>
      </c>
      <c r="P113" t="s">
        <v>85</v>
      </c>
      <c r="Q113">
        <v>1</v>
      </c>
      <c r="X113">
        <v>105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 t="s">
        <v>5</v>
      </c>
      <c r="AG113">
        <v>105</v>
      </c>
      <c r="AH113">
        <v>3</v>
      </c>
      <c r="AI113">
        <v>-1</v>
      </c>
      <c r="AJ113" t="s">
        <v>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ROW(Source!A46)</f>
        <v>46</v>
      </c>
      <c r="B114">
        <v>34765142</v>
      </c>
      <c r="C114">
        <v>34764193</v>
      </c>
      <c r="D114">
        <v>31450127</v>
      </c>
      <c r="E114">
        <v>1</v>
      </c>
      <c r="F114">
        <v>1</v>
      </c>
      <c r="G114">
        <v>1</v>
      </c>
      <c r="H114">
        <v>3</v>
      </c>
      <c r="I114" t="s">
        <v>290</v>
      </c>
      <c r="J114" t="s">
        <v>291</v>
      </c>
      <c r="K114" t="s">
        <v>292</v>
      </c>
      <c r="L114">
        <v>1346</v>
      </c>
      <c r="N114">
        <v>1009</v>
      </c>
      <c r="O114" t="s">
        <v>265</v>
      </c>
      <c r="P114" t="s">
        <v>265</v>
      </c>
      <c r="Q114">
        <v>1</v>
      </c>
      <c r="X114">
        <v>0.2</v>
      </c>
      <c r="Y114">
        <v>1.82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5</v>
      </c>
      <c r="AG114">
        <v>0.2</v>
      </c>
      <c r="AH114">
        <v>2</v>
      </c>
      <c r="AI114">
        <v>34765142</v>
      </c>
      <c r="AJ114">
        <v>95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ROW(Source!A46)</f>
        <v>46</v>
      </c>
      <c r="B115">
        <v>34765143</v>
      </c>
      <c r="C115">
        <v>34764193</v>
      </c>
      <c r="D115">
        <v>31442041</v>
      </c>
      <c r="E115">
        <v>17</v>
      </c>
      <c r="F115">
        <v>1</v>
      </c>
      <c r="G115">
        <v>1</v>
      </c>
      <c r="H115">
        <v>3</v>
      </c>
      <c r="I115" t="s">
        <v>310</v>
      </c>
      <c r="J115" t="s">
        <v>5</v>
      </c>
      <c r="K115" t="s">
        <v>311</v>
      </c>
      <c r="L115">
        <v>1346</v>
      </c>
      <c r="N115">
        <v>1009</v>
      </c>
      <c r="O115" t="s">
        <v>265</v>
      </c>
      <c r="P115" t="s">
        <v>265</v>
      </c>
      <c r="Q115">
        <v>1</v>
      </c>
      <c r="X115">
        <v>30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 t="s">
        <v>5</v>
      </c>
      <c r="AG115">
        <v>30</v>
      </c>
      <c r="AH115">
        <v>3</v>
      </c>
      <c r="AI115">
        <v>-1</v>
      </c>
      <c r="AJ115" t="s">
        <v>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ROW(Source!A46)</f>
        <v>46</v>
      </c>
      <c r="B116">
        <v>34765144</v>
      </c>
      <c r="C116">
        <v>34764193</v>
      </c>
      <c r="D116">
        <v>31441681</v>
      </c>
      <c r="E116">
        <v>17</v>
      </c>
      <c r="F116">
        <v>1</v>
      </c>
      <c r="G116">
        <v>1</v>
      </c>
      <c r="H116">
        <v>3</v>
      </c>
      <c r="I116" t="s">
        <v>312</v>
      </c>
      <c r="J116" t="s">
        <v>5</v>
      </c>
      <c r="K116" t="s">
        <v>92</v>
      </c>
      <c r="L116">
        <v>1348</v>
      </c>
      <c r="N116">
        <v>1009</v>
      </c>
      <c r="O116" t="s">
        <v>44</v>
      </c>
      <c r="P116" t="s">
        <v>44</v>
      </c>
      <c r="Q116">
        <v>1000</v>
      </c>
      <c r="X116">
        <v>8.8999999999999999E-3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 t="s">
        <v>5</v>
      </c>
      <c r="AG116">
        <v>8.8999999999999999E-3</v>
      </c>
      <c r="AH116">
        <v>3</v>
      </c>
      <c r="AI116">
        <v>-1</v>
      </c>
      <c r="AJ116" t="s">
        <v>5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ROW(Source!A47)</f>
        <v>47</v>
      </c>
      <c r="B117">
        <v>34765137</v>
      </c>
      <c r="C117">
        <v>34764193</v>
      </c>
      <c r="D117">
        <v>31717381</v>
      </c>
      <c r="E117">
        <v>1</v>
      </c>
      <c r="F117">
        <v>1</v>
      </c>
      <c r="G117">
        <v>1</v>
      </c>
      <c r="H117">
        <v>1</v>
      </c>
      <c r="I117" t="s">
        <v>288</v>
      </c>
      <c r="J117" t="s">
        <v>5</v>
      </c>
      <c r="K117" t="s">
        <v>289</v>
      </c>
      <c r="L117">
        <v>1191</v>
      </c>
      <c r="N117">
        <v>1013</v>
      </c>
      <c r="O117" t="s">
        <v>224</v>
      </c>
      <c r="P117" t="s">
        <v>224</v>
      </c>
      <c r="Q117">
        <v>1</v>
      </c>
      <c r="X117">
        <v>166.47</v>
      </c>
      <c r="Y117">
        <v>0</v>
      </c>
      <c r="Z117">
        <v>0</v>
      </c>
      <c r="AA117">
        <v>0</v>
      </c>
      <c r="AB117">
        <v>9.18</v>
      </c>
      <c r="AC117">
        <v>0</v>
      </c>
      <c r="AD117">
        <v>1</v>
      </c>
      <c r="AE117">
        <v>1</v>
      </c>
      <c r="AF117" t="s">
        <v>5</v>
      </c>
      <c r="AG117">
        <v>166.47</v>
      </c>
      <c r="AH117">
        <v>2</v>
      </c>
      <c r="AI117">
        <v>34765137</v>
      </c>
      <c r="AJ117">
        <v>99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ROW(Source!A47)</f>
        <v>47</v>
      </c>
      <c r="B118">
        <v>34765138</v>
      </c>
      <c r="C118">
        <v>34764193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225</v>
      </c>
      <c r="J118" t="s">
        <v>5</v>
      </c>
      <c r="K118" t="s">
        <v>226</v>
      </c>
      <c r="L118">
        <v>1191</v>
      </c>
      <c r="N118">
        <v>1013</v>
      </c>
      <c r="O118" t="s">
        <v>224</v>
      </c>
      <c r="P118" t="s">
        <v>224</v>
      </c>
      <c r="Q118">
        <v>1</v>
      </c>
      <c r="X118">
        <v>0.57999999999999996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F118" t="s">
        <v>5</v>
      </c>
      <c r="AG118">
        <v>0.57999999999999996</v>
      </c>
      <c r="AH118">
        <v>2</v>
      </c>
      <c r="AI118">
        <v>34765138</v>
      </c>
      <c r="AJ118">
        <v>100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ROW(Source!A47)</f>
        <v>47</v>
      </c>
      <c r="B119">
        <v>34765139</v>
      </c>
      <c r="C119">
        <v>34764193</v>
      </c>
      <c r="D119">
        <v>31527047</v>
      </c>
      <c r="E119">
        <v>1</v>
      </c>
      <c r="F119">
        <v>1</v>
      </c>
      <c r="G119">
        <v>1</v>
      </c>
      <c r="H119">
        <v>2</v>
      </c>
      <c r="I119" t="s">
        <v>280</v>
      </c>
      <c r="J119" t="s">
        <v>281</v>
      </c>
      <c r="K119" t="s">
        <v>282</v>
      </c>
      <c r="L119">
        <v>1368</v>
      </c>
      <c r="N119">
        <v>1011</v>
      </c>
      <c r="O119" t="s">
        <v>230</v>
      </c>
      <c r="P119" t="s">
        <v>230</v>
      </c>
      <c r="Q119">
        <v>1</v>
      </c>
      <c r="X119">
        <v>0.08</v>
      </c>
      <c r="Y119">
        <v>0</v>
      </c>
      <c r="Z119">
        <v>31.26</v>
      </c>
      <c r="AA119">
        <v>13.5</v>
      </c>
      <c r="AB119">
        <v>0</v>
      </c>
      <c r="AC119">
        <v>0</v>
      </c>
      <c r="AD119">
        <v>1</v>
      </c>
      <c r="AE119">
        <v>0</v>
      </c>
      <c r="AF119" t="s">
        <v>5</v>
      </c>
      <c r="AG119">
        <v>0.08</v>
      </c>
      <c r="AH119">
        <v>2</v>
      </c>
      <c r="AI119">
        <v>34765139</v>
      </c>
      <c r="AJ119">
        <v>101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ROW(Source!A47)</f>
        <v>47</v>
      </c>
      <c r="B120">
        <v>34765140</v>
      </c>
      <c r="C120">
        <v>34764193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227</v>
      </c>
      <c r="J120" t="s">
        <v>228</v>
      </c>
      <c r="K120" t="s">
        <v>229</v>
      </c>
      <c r="L120">
        <v>1368</v>
      </c>
      <c r="N120">
        <v>1011</v>
      </c>
      <c r="O120" t="s">
        <v>230</v>
      </c>
      <c r="P120" t="s">
        <v>230</v>
      </c>
      <c r="Q120">
        <v>1</v>
      </c>
      <c r="X120">
        <v>0.5</v>
      </c>
      <c r="Y120">
        <v>0</v>
      </c>
      <c r="Z120">
        <v>65.709999999999994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5</v>
      </c>
      <c r="AG120">
        <v>0.5</v>
      </c>
      <c r="AH120">
        <v>2</v>
      </c>
      <c r="AI120">
        <v>34765140</v>
      </c>
      <c r="AJ120">
        <v>102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ROW(Source!A47)</f>
        <v>47</v>
      </c>
      <c r="B121">
        <v>34765141</v>
      </c>
      <c r="C121">
        <v>34764193</v>
      </c>
      <c r="D121">
        <v>31442108</v>
      </c>
      <c r="E121">
        <v>17</v>
      </c>
      <c r="F121">
        <v>1</v>
      </c>
      <c r="G121">
        <v>1</v>
      </c>
      <c r="H121">
        <v>3</v>
      </c>
      <c r="I121" t="s">
        <v>308</v>
      </c>
      <c r="J121" t="s">
        <v>5</v>
      </c>
      <c r="K121" t="s">
        <v>309</v>
      </c>
      <c r="L121">
        <v>1327</v>
      </c>
      <c r="N121">
        <v>1005</v>
      </c>
      <c r="O121" t="s">
        <v>85</v>
      </c>
      <c r="P121" t="s">
        <v>85</v>
      </c>
      <c r="Q121">
        <v>1</v>
      </c>
      <c r="X121">
        <v>105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 t="s">
        <v>5</v>
      </c>
      <c r="AG121">
        <v>105</v>
      </c>
      <c r="AH121">
        <v>3</v>
      </c>
      <c r="AI121">
        <v>-1</v>
      </c>
      <c r="AJ121" t="s">
        <v>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ROW(Source!A47)</f>
        <v>47</v>
      </c>
      <c r="B122">
        <v>34765142</v>
      </c>
      <c r="C122">
        <v>34764193</v>
      </c>
      <c r="D122">
        <v>31450127</v>
      </c>
      <c r="E122">
        <v>1</v>
      </c>
      <c r="F122">
        <v>1</v>
      </c>
      <c r="G122">
        <v>1</v>
      </c>
      <c r="H122">
        <v>3</v>
      </c>
      <c r="I122" t="s">
        <v>290</v>
      </c>
      <c r="J122" t="s">
        <v>291</v>
      </c>
      <c r="K122" t="s">
        <v>292</v>
      </c>
      <c r="L122">
        <v>1346</v>
      </c>
      <c r="N122">
        <v>1009</v>
      </c>
      <c r="O122" t="s">
        <v>265</v>
      </c>
      <c r="P122" t="s">
        <v>265</v>
      </c>
      <c r="Q122">
        <v>1</v>
      </c>
      <c r="X122">
        <v>0.2</v>
      </c>
      <c r="Y122">
        <v>1.82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5</v>
      </c>
      <c r="AG122">
        <v>0.2</v>
      </c>
      <c r="AH122">
        <v>2</v>
      </c>
      <c r="AI122">
        <v>34765142</v>
      </c>
      <c r="AJ122">
        <v>103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ROW(Source!A47)</f>
        <v>47</v>
      </c>
      <c r="B123">
        <v>34765143</v>
      </c>
      <c r="C123">
        <v>34764193</v>
      </c>
      <c r="D123">
        <v>31442041</v>
      </c>
      <c r="E123">
        <v>17</v>
      </c>
      <c r="F123">
        <v>1</v>
      </c>
      <c r="G123">
        <v>1</v>
      </c>
      <c r="H123">
        <v>3</v>
      </c>
      <c r="I123" t="s">
        <v>310</v>
      </c>
      <c r="J123" t="s">
        <v>5</v>
      </c>
      <c r="K123" t="s">
        <v>311</v>
      </c>
      <c r="L123">
        <v>1346</v>
      </c>
      <c r="N123">
        <v>1009</v>
      </c>
      <c r="O123" t="s">
        <v>265</v>
      </c>
      <c r="P123" t="s">
        <v>265</v>
      </c>
      <c r="Q123">
        <v>1</v>
      </c>
      <c r="X123">
        <v>30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 t="s">
        <v>5</v>
      </c>
      <c r="AG123">
        <v>30</v>
      </c>
      <c r="AH123">
        <v>3</v>
      </c>
      <c r="AI123">
        <v>-1</v>
      </c>
      <c r="AJ123" t="s">
        <v>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ROW(Source!A47)</f>
        <v>47</v>
      </c>
      <c r="B124">
        <v>34765144</v>
      </c>
      <c r="C124">
        <v>34764193</v>
      </c>
      <c r="D124">
        <v>31441681</v>
      </c>
      <c r="E124">
        <v>17</v>
      </c>
      <c r="F124">
        <v>1</v>
      </c>
      <c r="G124">
        <v>1</v>
      </c>
      <c r="H124">
        <v>3</v>
      </c>
      <c r="I124" t="s">
        <v>312</v>
      </c>
      <c r="J124" t="s">
        <v>5</v>
      </c>
      <c r="K124" t="s">
        <v>92</v>
      </c>
      <c r="L124">
        <v>1348</v>
      </c>
      <c r="N124">
        <v>1009</v>
      </c>
      <c r="O124" t="s">
        <v>44</v>
      </c>
      <c r="P124" t="s">
        <v>44</v>
      </c>
      <c r="Q124">
        <v>1000</v>
      </c>
      <c r="X124">
        <v>8.8999999999999999E-3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 t="s">
        <v>5</v>
      </c>
      <c r="AG124">
        <v>8.8999999999999999E-3</v>
      </c>
      <c r="AH124">
        <v>3</v>
      </c>
      <c r="AI124">
        <v>-1</v>
      </c>
      <c r="AJ124" t="s">
        <v>5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ROW(Source!A54)</f>
        <v>54</v>
      </c>
      <c r="B125">
        <v>34765162</v>
      </c>
      <c r="C125">
        <v>34764215</v>
      </c>
      <c r="D125">
        <v>31715651</v>
      </c>
      <c r="E125">
        <v>1</v>
      </c>
      <c r="F125">
        <v>1</v>
      </c>
      <c r="G125">
        <v>1</v>
      </c>
      <c r="H125">
        <v>1</v>
      </c>
      <c r="I125" t="s">
        <v>293</v>
      </c>
      <c r="J125" t="s">
        <v>5</v>
      </c>
      <c r="K125" t="s">
        <v>294</v>
      </c>
      <c r="L125">
        <v>1191</v>
      </c>
      <c r="N125">
        <v>1013</v>
      </c>
      <c r="O125" t="s">
        <v>224</v>
      </c>
      <c r="P125" t="s">
        <v>224</v>
      </c>
      <c r="Q125">
        <v>1</v>
      </c>
      <c r="X125">
        <v>207.98</v>
      </c>
      <c r="Y125">
        <v>0</v>
      </c>
      <c r="Z125">
        <v>0</v>
      </c>
      <c r="AA125">
        <v>0</v>
      </c>
      <c r="AB125">
        <v>9.6199999999999992</v>
      </c>
      <c r="AC125">
        <v>0</v>
      </c>
      <c r="AD125">
        <v>1</v>
      </c>
      <c r="AE125">
        <v>1</v>
      </c>
      <c r="AF125" t="s">
        <v>5</v>
      </c>
      <c r="AG125">
        <v>207.98</v>
      </c>
      <c r="AH125">
        <v>2</v>
      </c>
      <c r="AI125">
        <v>34765162</v>
      </c>
      <c r="AJ125">
        <v>107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ROW(Source!A54)</f>
        <v>54</v>
      </c>
      <c r="B126">
        <v>34765163</v>
      </c>
      <c r="C126">
        <v>34764215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225</v>
      </c>
      <c r="J126" t="s">
        <v>5</v>
      </c>
      <c r="K126" t="s">
        <v>226</v>
      </c>
      <c r="L126">
        <v>1191</v>
      </c>
      <c r="N126">
        <v>1013</v>
      </c>
      <c r="O126" t="s">
        <v>224</v>
      </c>
      <c r="P126" t="s">
        <v>224</v>
      </c>
      <c r="Q126">
        <v>1</v>
      </c>
      <c r="X126">
        <v>18.12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5</v>
      </c>
      <c r="AG126">
        <v>18.12</v>
      </c>
      <c r="AH126">
        <v>2</v>
      </c>
      <c r="AI126">
        <v>34765163</v>
      </c>
      <c r="AJ126">
        <v>108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ROW(Source!A54)</f>
        <v>54</v>
      </c>
      <c r="B127">
        <v>34765164</v>
      </c>
      <c r="C127">
        <v>34764215</v>
      </c>
      <c r="D127">
        <v>31527045</v>
      </c>
      <c r="E127">
        <v>1</v>
      </c>
      <c r="F127">
        <v>1</v>
      </c>
      <c r="G127">
        <v>1</v>
      </c>
      <c r="H127">
        <v>2</v>
      </c>
      <c r="I127" t="s">
        <v>295</v>
      </c>
      <c r="J127" t="s">
        <v>296</v>
      </c>
      <c r="K127" t="s">
        <v>297</v>
      </c>
      <c r="L127">
        <v>1368</v>
      </c>
      <c r="N127">
        <v>1011</v>
      </c>
      <c r="O127" t="s">
        <v>230</v>
      </c>
      <c r="P127" t="s">
        <v>230</v>
      </c>
      <c r="Q127">
        <v>1</v>
      </c>
      <c r="X127">
        <v>18.12</v>
      </c>
      <c r="Y127">
        <v>0</v>
      </c>
      <c r="Z127">
        <v>29.46</v>
      </c>
      <c r="AA127">
        <v>11.6</v>
      </c>
      <c r="AB127">
        <v>0</v>
      </c>
      <c r="AC127">
        <v>0</v>
      </c>
      <c r="AD127">
        <v>1</v>
      </c>
      <c r="AE127">
        <v>0</v>
      </c>
      <c r="AF127" t="s">
        <v>5</v>
      </c>
      <c r="AG127">
        <v>18.12</v>
      </c>
      <c r="AH127">
        <v>2</v>
      </c>
      <c r="AI127">
        <v>34765164</v>
      </c>
      <c r="AJ127">
        <v>109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ROW(Source!A54)</f>
        <v>54</v>
      </c>
      <c r="B128">
        <v>34765165</v>
      </c>
      <c r="C128">
        <v>34764215</v>
      </c>
      <c r="D128">
        <v>31442128</v>
      </c>
      <c r="E128">
        <v>17</v>
      </c>
      <c r="F128">
        <v>1</v>
      </c>
      <c r="G128">
        <v>1</v>
      </c>
      <c r="H128">
        <v>3</v>
      </c>
      <c r="I128" t="s">
        <v>308</v>
      </c>
      <c r="J128" t="s">
        <v>5</v>
      </c>
      <c r="K128" t="s">
        <v>313</v>
      </c>
      <c r="L128">
        <v>1327</v>
      </c>
      <c r="N128">
        <v>1005</v>
      </c>
      <c r="O128" t="s">
        <v>85</v>
      </c>
      <c r="P128" t="s">
        <v>85</v>
      </c>
      <c r="Q128">
        <v>1</v>
      </c>
      <c r="X128">
        <v>103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 t="s">
        <v>5</v>
      </c>
      <c r="AG128">
        <v>103</v>
      </c>
      <c r="AH128">
        <v>3</v>
      </c>
      <c r="AI128">
        <v>-1</v>
      </c>
      <c r="AJ128" t="s">
        <v>5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ROW(Source!A54)</f>
        <v>54</v>
      </c>
      <c r="B129">
        <v>34765166</v>
      </c>
      <c r="C129">
        <v>34764215</v>
      </c>
      <c r="D129">
        <v>31446786</v>
      </c>
      <c r="E129">
        <v>1</v>
      </c>
      <c r="F129">
        <v>1</v>
      </c>
      <c r="G129">
        <v>1</v>
      </c>
      <c r="H129">
        <v>3</v>
      </c>
      <c r="I129" t="s">
        <v>314</v>
      </c>
      <c r="J129" t="s">
        <v>315</v>
      </c>
      <c r="K129" t="s">
        <v>316</v>
      </c>
      <c r="L129">
        <v>1346</v>
      </c>
      <c r="N129">
        <v>1009</v>
      </c>
      <c r="O129" t="s">
        <v>265</v>
      </c>
      <c r="P129" t="s">
        <v>265</v>
      </c>
      <c r="Q129">
        <v>1</v>
      </c>
      <c r="X129">
        <v>0</v>
      </c>
      <c r="Y129">
        <v>30.4</v>
      </c>
      <c r="Z129">
        <v>0</v>
      </c>
      <c r="AA129">
        <v>0</v>
      </c>
      <c r="AB129">
        <v>0</v>
      </c>
      <c r="AC129">
        <v>1</v>
      </c>
      <c r="AD129">
        <v>0</v>
      </c>
      <c r="AE129">
        <v>0</v>
      </c>
      <c r="AF129" t="s">
        <v>5</v>
      </c>
      <c r="AG129">
        <v>0</v>
      </c>
      <c r="AH129">
        <v>3</v>
      </c>
      <c r="AI129">
        <v>-1</v>
      </c>
      <c r="AJ129" t="s">
        <v>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ROW(Source!A54)</f>
        <v>54</v>
      </c>
      <c r="B130">
        <v>34765167</v>
      </c>
      <c r="C130">
        <v>34764215</v>
      </c>
      <c r="D130">
        <v>31449260</v>
      </c>
      <c r="E130">
        <v>1</v>
      </c>
      <c r="F130">
        <v>1</v>
      </c>
      <c r="G130">
        <v>1</v>
      </c>
      <c r="H130">
        <v>3</v>
      </c>
      <c r="I130" t="s">
        <v>317</v>
      </c>
      <c r="J130" t="s">
        <v>318</v>
      </c>
      <c r="K130" t="s">
        <v>319</v>
      </c>
      <c r="L130">
        <v>1355</v>
      </c>
      <c r="N130">
        <v>1010</v>
      </c>
      <c r="O130" t="s">
        <v>320</v>
      </c>
      <c r="P130" t="s">
        <v>320</v>
      </c>
      <c r="Q130">
        <v>100</v>
      </c>
      <c r="X130">
        <v>0</v>
      </c>
      <c r="Y130">
        <v>83.68</v>
      </c>
      <c r="Z130">
        <v>0</v>
      </c>
      <c r="AA130">
        <v>0</v>
      </c>
      <c r="AB130">
        <v>0</v>
      </c>
      <c r="AC130">
        <v>1</v>
      </c>
      <c r="AD130">
        <v>0</v>
      </c>
      <c r="AE130">
        <v>0</v>
      </c>
      <c r="AF130" t="s">
        <v>5</v>
      </c>
      <c r="AG130">
        <v>0</v>
      </c>
      <c r="AH130">
        <v>3</v>
      </c>
      <c r="AI130">
        <v>-1</v>
      </c>
      <c r="AJ130" t="s">
        <v>5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ROW(Source!A54)</f>
        <v>54</v>
      </c>
      <c r="B131">
        <v>34765168</v>
      </c>
      <c r="C131">
        <v>34764215</v>
      </c>
      <c r="D131">
        <v>31442044</v>
      </c>
      <c r="E131">
        <v>17</v>
      </c>
      <c r="F131">
        <v>1</v>
      </c>
      <c r="G131">
        <v>1</v>
      </c>
      <c r="H131">
        <v>3</v>
      </c>
      <c r="I131" t="s">
        <v>321</v>
      </c>
      <c r="J131" t="s">
        <v>5</v>
      </c>
      <c r="K131" t="s">
        <v>322</v>
      </c>
      <c r="L131">
        <v>1035</v>
      </c>
      <c r="N131">
        <v>1013</v>
      </c>
      <c r="O131" t="s">
        <v>323</v>
      </c>
      <c r="P131" t="s">
        <v>323</v>
      </c>
      <c r="Q131">
        <v>1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</v>
      </c>
      <c r="AD131">
        <v>0</v>
      </c>
      <c r="AE131">
        <v>0</v>
      </c>
      <c r="AF131" t="s">
        <v>5</v>
      </c>
      <c r="AG131">
        <v>0</v>
      </c>
      <c r="AH131">
        <v>3</v>
      </c>
      <c r="AI131">
        <v>-1</v>
      </c>
      <c r="AJ131" t="s">
        <v>5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ROW(Source!A54)</f>
        <v>54</v>
      </c>
      <c r="B132">
        <v>34765169</v>
      </c>
      <c r="C132">
        <v>34764215</v>
      </c>
      <c r="D132">
        <v>31441671</v>
      </c>
      <c r="E132">
        <v>17</v>
      </c>
      <c r="F132">
        <v>1</v>
      </c>
      <c r="G132">
        <v>1</v>
      </c>
      <c r="H132">
        <v>3</v>
      </c>
      <c r="I132" t="s">
        <v>324</v>
      </c>
      <c r="J132" t="s">
        <v>5</v>
      </c>
      <c r="K132" t="s">
        <v>102</v>
      </c>
      <c r="L132">
        <v>1327</v>
      </c>
      <c r="N132">
        <v>1005</v>
      </c>
      <c r="O132" t="s">
        <v>85</v>
      </c>
      <c r="P132" t="s">
        <v>85</v>
      </c>
      <c r="Q132">
        <v>1</v>
      </c>
      <c r="X132">
        <v>103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 t="s">
        <v>5</v>
      </c>
      <c r="AG132">
        <v>103</v>
      </c>
      <c r="AH132">
        <v>3</v>
      </c>
      <c r="AI132">
        <v>-1</v>
      </c>
      <c r="AJ132" t="s">
        <v>5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ROW(Source!A55)</f>
        <v>55</v>
      </c>
      <c r="B133">
        <v>34765162</v>
      </c>
      <c r="C133">
        <v>34764215</v>
      </c>
      <c r="D133">
        <v>31715651</v>
      </c>
      <c r="E133">
        <v>1</v>
      </c>
      <c r="F133">
        <v>1</v>
      </c>
      <c r="G133">
        <v>1</v>
      </c>
      <c r="H133">
        <v>1</v>
      </c>
      <c r="I133" t="s">
        <v>293</v>
      </c>
      <c r="J133" t="s">
        <v>5</v>
      </c>
      <c r="K133" t="s">
        <v>294</v>
      </c>
      <c r="L133">
        <v>1191</v>
      </c>
      <c r="N133">
        <v>1013</v>
      </c>
      <c r="O133" t="s">
        <v>224</v>
      </c>
      <c r="P133" t="s">
        <v>224</v>
      </c>
      <c r="Q133">
        <v>1</v>
      </c>
      <c r="X133">
        <v>207.98</v>
      </c>
      <c r="Y133">
        <v>0</v>
      </c>
      <c r="Z133">
        <v>0</v>
      </c>
      <c r="AA133">
        <v>0</v>
      </c>
      <c r="AB133">
        <v>9.6199999999999992</v>
      </c>
      <c r="AC133">
        <v>0</v>
      </c>
      <c r="AD133">
        <v>1</v>
      </c>
      <c r="AE133">
        <v>1</v>
      </c>
      <c r="AF133" t="s">
        <v>5</v>
      </c>
      <c r="AG133">
        <v>207.98</v>
      </c>
      <c r="AH133">
        <v>2</v>
      </c>
      <c r="AI133">
        <v>34765162</v>
      </c>
      <c r="AJ133">
        <v>113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ROW(Source!A55)</f>
        <v>55</v>
      </c>
      <c r="B134">
        <v>34765163</v>
      </c>
      <c r="C134">
        <v>34764215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225</v>
      </c>
      <c r="J134" t="s">
        <v>5</v>
      </c>
      <c r="K134" t="s">
        <v>226</v>
      </c>
      <c r="L134">
        <v>1191</v>
      </c>
      <c r="N134">
        <v>1013</v>
      </c>
      <c r="O134" t="s">
        <v>224</v>
      </c>
      <c r="P134" t="s">
        <v>224</v>
      </c>
      <c r="Q134">
        <v>1</v>
      </c>
      <c r="X134">
        <v>18.12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5</v>
      </c>
      <c r="AG134">
        <v>18.12</v>
      </c>
      <c r="AH134">
        <v>2</v>
      </c>
      <c r="AI134">
        <v>34765163</v>
      </c>
      <c r="AJ134">
        <v>114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ROW(Source!A55)</f>
        <v>55</v>
      </c>
      <c r="B135">
        <v>34765164</v>
      </c>
      <c r="C135">
        <v>34764215</v>
      </c>
      <c r="D135">
        <v>31527045</v>
      </c>
      <c r="E135">
        <v>1</v>
      </c>
      <c r="F135">
        <v>1</v>
      </c>
      <c r="G135">
        <v>1</v>
      </c>
      <c r="H135">
        <v>2</v>
      </c>
      <c r="I135" t="s">
        <v>295</v>
      </c>
      <c r="J135" t="s">
        <v>296</v>
      </c>
      <c r="K135" t="s">
        <v>297</v>
      </c>
      <c r="L135">
        <v>1368</v>
      </c>
      <c r="N135">
        <v>1011</v>
      </c>
      <c r="O135" t="s">
        <v>230</v>
      </c>
      <c r="P135" t="s">
        <v>230</v>
      </c>
      <c r="Q135">
        <v>1</v>
      </c>
      <c r="X135">
        <v>18.12</v>
      </c>
      <c r="Y135">
        <v>0</v>
      </c>
      <c r="Z135">
        <v>29.46</v>
      </c>
      <c r="AA135">
        <v>11.6</v>
      </c>
      <c r="AB135">
        <v>0</v>
      </c>
      <c r="AC135">
        <v>0</v>
      </c>
      <c r="AD135">
        <v>1</v>
      </c>
      <c r="AE135">
        <v>0</v>
      </c>
      <c r="AF135" t="s">
        <v>5</v>
      </c>
      <c r="AG135">
        <v>18.12</v>
      </c>
      <c r="AH135">
        <v>2</v>
      </c>
      <c r="AI135">
        <v>34765164</v>
      </c>
      <c r="AJ135">
        <v>115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ROW(Source!A55)</f>
        <v>55</v>
      </c>
      <c r="B136">
        <v>34765165</v>
      </c>
      <c r="C136">
        <v>34764215</v>
      </c>
      <c r="D136">
        <v>31442128</v>
      </c>
      <c r="E136">
        <v>17</v>
      </c>
      <c r="F136">
        <v>1</v>
      </c>
      <c r="G136">
        <v>1</v>
      </c>
      <c r="H136">
        <v>3</v>
      </c>
      <c r="I136" t="s">
        <v>308</v>
      </c>
      <c r="J136" t="s">
        <v>5</v>
      </c>
      <c r="K136" t="s">
        <v>313</v>
      </c>
      <c r="L136">
        <v>1327</v>
      </c>
      <c r="N136">
        <v>1005</v>
      </c>
      <c r="O136" t="s">
        <v>85</v>
      </c>
      <c r="P136" t="s">
        <v>85</v>
      </c>
      <c r="Q136">
        <v>1</v>
      </c>
      <c r="X136">
        <v>103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 t="s">
        <v>5</v>
      </c>
      <c r="AG136">
        <v>103</v>
      </c>
      <c r="AH136">
        <v>3</v>
      </c>
      <c r="AI136">
        <v>-1</v>
      </c>
      <c r="AJ136" t="s">
        <v>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ROW(Source!A55)</f>
        <v>55</v>
      </c>
      <c r="B137">
        <v>34765166</v>
      </c>
      <c r="C137">
        <v>34764215</v>
      </c>
      <c r="D137">
        <v>31446786</v>
      </c>
      <c r="E137">
        <v>1</v>
      </c>
      <c r="F137">
        <v>1</v>
      </c>
      <c r="G137">
        <v>1</v>
      </c>
      <c r="H137">
        <v>3</v>
      </c>
      <c r="I137" t="s">
        <v>314</v>
      </c>
      <c r="J137" t="s">
        <v>315</v>
      </c>
      <c r="K137" t="s">
        <v>316</v>
      </c>
      <c r="L137">
        <v>1346</v>
      </c>
      <c r="N137">
        <v>1009</v>
      </c>
      <c r="O137" t="s">
        <v>265</v>
      </c>
      <c r="P137" t="s">
        <v>265</v>
      </c>
      <c r="Q137">
        <v>1</v>
      </c>
      <c r="X137">
        <v>0</v>
      </c>
      <c r="Y137">
        <v>30.4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 t="s">
        <v>5</v>
      </c>
      <c r="AG137">
        <v>0</v>
      </c>
      <c r="AH137">
        <v>3</v>
      </c>
      <c r="AI137">
        <v>-1</v>
      </c>
      <c r="AJ137" t="s">
        <v>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ROW(Source!A55)</f>
        <v>55</v>
      </c>
      <c r="B138">
        <v>34765167</v>
      </c>
      <c r="C138">
        <v>34764215</v>
      </c>
      <c r="D138">
        <v>31449260</v>
      </c>
      <c r="E138">
        <v>1</v>
      </c>
      <c r="F138">
        <v>1</v>
      </c>
      <c r="G138">
        <v>1</v>
      </c>
      <c r="H138">
        <v>3</v>
      </c>
      <c r="I138" t="s">
        <v>317</v>
      </c>
      <c r="J138" t="s">
        <v>318</v>
      </c>
      <c r="K138" t="s">
        <v>319</v>
      </c>
      <c r="L138">
        <v>1355</v>
      </c>
      <c r="N138">
        <v>1010</v>
      </c>
      <c r="O138" t="s">
        <v>320</v>
      </c>
      <c r="P138" t="s">
        <v>320</v>
      </c>
      <c r="Q138">
        <v>100</v>
      </c>
      <c r="X138">
        <v>0</v>
      </c>
      <c r="Y138">
        <v>83.68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 t="s">
        <v>5</v>
      </c>
      <c r="AG138">
        <v>0</v>
      </c>
      <c r="AH138">
        <v>3</v>
      </c>
      <c r="AI138">
        <v>-1</v>
      </c>
      <c r="AJ138" t="s">
        <v>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ROW(Source!A55)</f>
        <v>55</v>
      </c>
      <c r="B139">
        <v>34765168</v>
      </c>
      <c r="C139">
        <v>34764215</v>
      </c>
      <c r="D139">
        <v>31442044</v>
      </c>
      <c r="E139">
        <v>17</v>
      </c>
      <c r="F139">
        <v>1</v>
      </c>
      <c r="G139">
        <v>1</v>
      </c>
      <c r="H139">
        <v>3</v>
      </c>
      <c r="I139" t="s">
        <v>321</v>
      </c>
      <c r="J139" t="s">
        <v>5</v>
      </c>
      <c r="K139" t="s">
        <v>322</v>
      </c>
      <c r="L139">
        <v>1035</v>
      </c>
      <c r="N139">
        <v>1013</v>
      </c>
      <c r="O139" t="s">
        <v>323</v>
      </c>
      <c r="P139" t="s">
        <v>323</v>
      </c>
      <c r="Q139">
        <v>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 t="s">
        <v>5</v>
      </c>
      <c r="AG139">
        <v>0</v>
      </c>
      <c r="AH139">
        <v>3</v>
      </c>
      <c r="AI139">
        <v>-1</v>
      </c>
      <c r="AJ139" t="s">
        <v>5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ROW(Source!A55)</f>
        <v>55</v>
      </c>
      <c r="B140">
        <v>34765169</v>
      </c>
      <c r="C140">
        <v>34764215</v>
      </c>
      <c r="D140">
        <v>31441671</v>
      </c>
      <c r="E140">
        <v>17</v>
      </c>
      <c r="F140">
        <v>1</v>
      </c>
      <c r="G140">
        <v>1</v>
      </c>
      <c r="H140">
        <v>3</v>
      </c>
      <c r="I140" t="s">
        <v>324</v>
      </c>
      <c r="J140" t="s">
        <v>5</v>
      </c>
      <c r="K140" t="s">
        <v>102</v>
      </c>
      <c r="L140">
        <v>1327</v>
      </c>
      <c r="N140">
        <v>1005</v>
      </c>
      <c r="O140" t="s">
        <v>85</v>
      </c>
      <c r="P140" t="s">
        <v>85</v>
      </c>
      <c r="Q140">
        <v>1</v>
      </c>
      <c r="X140">
        <v>103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5</v>
      </c>
      <c r="AG140">
        <v>103</v>
      </c>
      <c r="AH140">
        <v>3</v>
      </c>
      <c r="AI140">
        <v>-1</v>
      </c>
      <c r="AJ140" t="s">
        <v>5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2.Материалы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'2.Материалы'!Заголовки_для_печати</vt:lpstr>
      <vt:lpstr>'1.Смета.или.Акт'!Область_печати</vt:lpstr>
      <vt:lpstr>'2.Материалы'!Область_печати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PTO-Kurlinova</dc:creator>
  <cp:lastModifiedBy>Пользователь Windows</cp:lastModifiedBy>
  <cp:lastPrinted>2019-03-26T12:00:30Z</cp:lastPrinted>
  <dcterms:created xsi:type="dcterms:W3CDTF">2019-03-26T11:25:28Z</dcterms:created>
  <dcterms:modified xsi:type="dcterms:W3CDTF">2019-04-05T11:54:08Z</dcterms:modified>
</cp:coreProperties>
</file>