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 activeTab="1"/>
  </bookViews>
  <sheets>
    <sheet name="2.КС3" sheetId="8" r:id="rId1"/>
    <sheet name="1.Смета.или.Акт" sheetId="6" r:id="rId2"/>
    <sheet name="Source" sheetId="1" state="hidden" r:id="rId3"/>
    <sheet name="SourceObSm" sheetId="2" state="hidden" r:id="rId4"/>
    <sheet name="SmtRes" sheetId="3" state="hidden" r:id="rId5"/>
    <sheet name="EtalonRes" sheetId="4" state="hidden" r:id="rId6"/>
  </sheets>
  <definedNames>
    <definedName name="_xlnm.Print_Titles" localSheetId="1">'1.Смета.или.Акт'!$45:$45</definedName>
    <definedName name="_xlnm.Print_Titles" localSheetId="0">'2.КС3'!$30:$30</definedName>
    <definedName name="_xlnm.Print_Area" localSheetId="1">'1.Смета.или.Акт'!$A$1:$K$138</definedName>
    <definedName name="_xlnm.Print_Area" localSheetId="0">'2.КС3'!$A$1:$F$48</definedName>
  </definedNames>
  <calcPr calcId="144525"/>
</workbook>
</file>

<file path=xl/calcChain.xml><?xml version="1.0" encoding="utf-8"?>
<calcChain xmlns="http://schemas.openxmlformats.org/spreadsheetml/2006/main">
  <c r="BZ44" i="8" l="1"/>
  <c r="BY44" i="8"/>
  <c r="BZ41" i="8"/>
  <c r="BY41" i="8"/>
  <c r="F38" i="8"/>
  <c r="E38" i="8"/>
  <c r="D38" i="8"/>
  <c r="F37" i="8"/>
  <c r="E37" i="8"/>
  <c r="D37" i="8"/>
  <c r="F36" i="8"/>
  <c r="E36" i="8"/>
  <c r="D36" i="8"/>
  <c r="BT24" i="8"/>
  <c r="BW14" i="8"/>
  <c r="BS12" i="8"/>
  <c r="BS11" i="8"/>
  <c r="BR10" i="8"/>
  <c r="BR9" i="8"/>
  <c r="BR8" i="8"/>
  <c r="BR7" i="8"/>
  <c r="BZ134" i="6"/>
  <c r="BY134" i="6"/>
  <c r="BZ131" i="6"/>
  <c r="BY131" i="6"/>
  <c r="BZ125" i="6"/>
  <c r="BY125" i="6"/>
  <c r="BZ122" i="6"/>
  <c r="BY122" i="6"/>
  <c r="H113" i="6"/>
  <c r="H111" i="6"/>
  <c r="J108" i="6"/>
  <c r="J107" i="6"/>
  <c r="H107" i="6"/>
  <c r="J104" i="6"/>
  <c r="J103" i="6"/>
  <c r="H103" i="6"/>
  <c r="J40" i="6"/>
  <c r="J39" i="6"/>
  <c r="I39" i="6"/>
  <c r="FV99" i="6"/>
  <c r="FU99" i="6"/>
  <c r="FT99" i="6"/>
  <c r="FS99" i="6"/>
  <c r="FQ99" i="6"/>
  <c r="H114" i="6" s="1"/>
  <c r="FP99" i="6"/>
  <c r="FN99" i="6"/>
  <c r="FL99" i="6"/>
  <c r="H108" i="6" s="1"/>
  <c r="FK99" i="6"/>
  <c r="FJ99" i="6"/>
  <c r="FI99" i="6"/>
  <c r="FH99" i="6"/>
  <c r="FG99" i="6"/>
  <c r="FF99" i="6"/>
  <c r="FD99" i="6"/>
  <c r="FA99" i="6"/>
  <c r="EY99" i="6"/>
  <c r="EX99" i="6"/>
  <c r="H104" i="6" s="1"/>
  <c r="EW99" i="6"/>
  <c r="I40" i="6" s="1"/>
  <c r="ET99" i="6"/>
  <c r="DY99" i="6"/>
  <c r="DX99" i="6"/>
  <c r="DW99" i="6"/>
  <c r="DO99" i="6"/>
  <c r="DN99" i="6"/>
  <c r="DM99" i="6"/>
  <c r="DL99" i="6"/>
  <c r="DD99" i="6"/>
  <c r="DB99" i="6"/>
  <c r="DA99" i="6"/>
  <c r="CZ99" i="6"/>
  <c r="CW99" i="6"/>
  <c r="AC99" i="6"/>
  <c r="BC49" i="1"/>
  <c r="GW96" i="6"/>
  <c r="ES49" i="1"/>
  <c r="AL49" i="1"/>
  <c r="I49" i="1"/>
  <c r="GX96" i="6" s="1"/>
  <c r="I48" i="1"/>
  <c r="DW49" i="1"/>
  <c r="G49" i="1"/>
  <c r="F49" i="1"/>
  <c r="BC47" i="1"/>
  <c r="ES47" i="1"/>
  <c r="AL47" i="1"/>
  <c r="I47" i="1"/>
  <c r="GX93" i="6" s="1"/>
  <c r="I46" i="1"/>
  <c r="DW47" i="1"/>
  <c r="G47" i="1"/>
  <c r="F47" i="1"/>
  <c r="BC45" i="1"/>
  <c r="ES45" i="1"/>
  <c r="AL45" i="1"/>
  <c r="I45" i="1"/>
  <c r="GX90" i="6" s="1"/>
  <c r="I44" i="1"/>
  <c r="DW45" i="1"/>
  <c r="G45" i="1"/>
  <c r="F45" i="1"/>
  <c r="BC43" i="1"/>
  <c r="ES43" i="1"/>
  <c r="AL43" i="1"/>
  <c r="I43" i="1"/>
  <c r="GX87" i="6" s="1"/>
  <c r="I42" i="1"/>
  <c r="DW43" i="1"/>
  <c r="G43" i="1"/>
  <c r="F43" i="1"/>
  <c r="BC41" i="1"/>
  <c r="GW84" i="6"/>
  <c r="ES41" i="1"/>
  <c r="AL41" i="1"/>
  <c r="I41" i="1"/>
  <c r="GX84" i="6" s="1"/>
  <c r="I40" i="1"/>
  <c r="DW41" i="1"/>
  <c r="G41" i="1"/>
  <c r="F41" i="1"/>
  <c r="BC39" i="1"/>
  <c r="ES39" i="1"/>
  <c r="AL39" i="1"/>
  <c r="I39" i="1"/>
  <c r="GX81" i="6" s="1"/>
  <c r="I38" i="1"/>
  <c r="DW39" i="1"/>
  <c r="G39" i="1"/>
  <c r="F39" i="1"/>
  <c r="BC37" i="1"/>
  <c r="ES37" i="1"/>
  <c r="AL37" i="1"/>
  <c r="I37" i="1"/>
  <c r="GX78" i="6" s="1"/>
  <c r="I36" i="1"/>
  <c r="DW37" i="1"/>
  <c r="G37" i="1"/>
  <c r="F37" i="1"/>
  <c r="BC35" i="1"/>
  <c r="ES35" i="1"/>
  <c r="AL35" i="1"/>
  <c r="I35" i="1"/>
  <c r="GX75" i="6" s="1"/>
  <c r="I34" i="1"/>
  <c r="DW35" i="1"/>
  <c r="G35" i="1"/>
  <c r="F35" i="1"/>
  <c r="BC33" i="1"/>
  <c r="ES33" i="1"/>
  <c r="AL33" i="1"/>
  <c r="I33" i="1"/>
  <c r="GX72" i="6" s="1"/>
  <c r="I32" i="1"/>
  <c r="DW33" i="1"/>
  <c r="G33" i="1"/>
  <c r="F33" i="1"/>
  <c r="BC31" i="1"/>
  <c r="ES31" i="1"/>
  <c r="AL31" i="1"/>
  <c r="I31" i="1"/>
  <c r="GX69" i="6" s="1"/>
  <c r="I30" i="1"/>
  <c r="DW31" i="1"/>
  <c r="G31" i="1"/>
  <c r="F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GW64" i="6" s="1"/>
  <c r="I28" i="1"/>
  <c r="DW29" i="1"/>
  <c r="EW27" i="1"/>
  <c r="AQ27" i="1"/>
  <c r="BA27" i="1"/>
  <c r="EV27" i="1"/>
  <c r="ER27" i="1" s="1"/>
  <c r="AO27" i="1"/>
  <c r="AK27" i="1" s="1"/>
  <c r="F54" i="6" s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GW93" i="6" l="1"/>
  <c r="GW90" i="6"/>
  <c r="GW87" i="6"/>
  <c r="GW81" i="6"/>
  <c r="GW78" i="6"/>
  <c r="GW75" i="6"/>
  <c r="GW72" i="6"/>
  <c r="GW69" i="6"/>
  <c r="GX64" i="6"/>
  <c r="ER29" i="1"/>
  <c r="AK29" i="1"/>
  <c r="F60" i="6" s="1"/>
  <c r="ER25" i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B24" i="1" s="1"/>
  <c r="AE24" i="1"/>
  <c r="AD24" i="1" s="1"/>
  <c r="CR24" i="1" s="1"/>
  <c r="Q24" i="1" s="1"/>
  <c r="AF24" i="1"/>
  <c r="CT24" i="1" s="1"/>
  <c r="S24" i="1" s="1"/>
  <c r="AG24" i="1"/>
  <c r="CU24" i="1" s="1"/>
  <c r="T24" i="1" s="1"/>
  <c r="AH24" i="1"/>
  <c r="AI24" i="1"/>
  <c r="CW24" i="1" s="1"/>
  <c r="V24" i="1" s="1"/>
  <c r="AJ24" i="1"/>
  <c r="CX24" i="1" s="1"/>
  <c r="W24" i="1" s="1"/>
  <c r="CS24" i="1"/>
  <c r="R24" i="1" s="1"/>
  <c r="GK24" i="1" s="1"/>
  <c r="CV24" i="1"/>
  <c r="U24" i="1" s="1"/>
  <c r="FR24" i="1"/>
  <c r="GL24" i="1"/>
  <c r="GN24" i="1"/>
  <c r="GP24" i="1"/>
  <c r="GV24" i="1"/>
  <c r="GX24" i="1"/>
  <c r="C25" i="1"/>
  <c r="D25" i="1"/>
  <c r="AC25" i="1"/>
  <c r="AE25" i="1"/>
  <c r="AD25" i="1" s="1"/>
  <c r="AF25" i="1"/>
  <c r="AG25" i="1"/>
  <c r="AH25" i="1"/>
  <c r="AI25" i="1"/>
  <c r="CW25" i="1" s="1"/>
  <c r="V25" i="1" s="1"/>
  <c r="AJ25" i="1"/>
  <c r="CX25" i="1" s="1"/>
  <c r="W25" i="1" s="1"/>
  <c r="CQ25" i="1"/>
  <c r="P25" i="1" s="1"/>
  <c r="CU25" i="1"/>
  <c r="T25" i="1" s="1"/>
  <c r="FR25" i="1"/>
  <c r="GL25" i="1"/>
  <c r="GN25" i="1"/>
  <c r="GP25" i="1"/>
  <c r="GV25" i="1"/>
  <c r="GX25" i="1"/>
  <c r="C26" i="1"/>
  <c r="D26" i="1"/>
  <c r="AC26" i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GK26" i="1" s="1"/>
  <c r="CU26" i="1"/>
  <c r="T26" i="1" s="1"/>
  <c r="CW26" i="1"/>
  <c r="V26" i="1" s="1"/>
  <c r="FR26" i="1"/>
  <c r="GL26" i="1"/>
  <c r="GN26" i="1"/>
  <c r="GO26" i="1"/>
  <c r="GV26" i="1"/>
  <c r="GX26" i="1"/>
  <c r="C27" i="1"/>
  <c r="D27" i="1"/>
  <c r="AC27" i="1"/>
  <c r="AD27" i="1"/>
  <c r="CR27" i="1" s="1"/>
  <c r="Q27" i="1" s="1"/>
  <c r="AE27" i="1"/>
  <c r="AF27" i="1"/>
  <c r="AG27" i="1"/>
  <c r="AH27" i="1"/>
  <c r="AI27" i="1"/>
  <c r="AJ27" i="1"/>
  <c r="CX27" i="1" s="1"/>
  <c r="W27" i="1" s="1"/>
  <c r="CQ27" i="1"/>
  <c r="P27" i="1" s="1"/>
  <c r="CS27" i="1"/>
  <c r="R27" i="1" s="1"/>
  <c r="GK27" i="1" s="1"/>
  <c r="CU27" i="1"/>
  <c r="T27" i="1" s="1"/>
  <c r="CW27" i="1"/>
  <c r="V27" i="1" s="1"/>
  <c r="FR27" i="1"/>
  <c r="GL27" i="1"/>
  <c r="GN27" i="1"/>
  <c r="GO27" i="1"/>
  <c r="GV27" i="1"/>
  <c r="GX27" i="1"/>
  <c r="C28" i="1"/>
  <c r="D28" i="1"/>
  <c r="AC28" i="1"/>
  <c r="CQ28" i="1" s="1"/>
  <c r="P28" i="1" s="1"/>
  <c r="AD28" i="1"/>
  <c r="CR28" i="1" s="1"/>
  <c r="Q28" i="1" s="1"/>
  <c r="AE28" i="1"/>
  <c r="AF28" i="1"/>
  <c r="CT28" i="1" s="1"/>
  <c r="S28" i="1" s="1"/>
  <c r="AG28" i="1"/>
  <c r="AH28" i="1"/>
  <c r="CV28" i="1" s="1"/>
  <c r="U28" i="1" s="1"/>
  <c r="AI28" i="1"/>
  <c r="AJ28" i="1"/>
  <c r="CX28" i="1" s="1"/>
  <c r="W28" i="1" s="1"/>
  <c r="CS28" i="1"/>
  <c r="R28" i="1" s="1"/>
  <c r="GK28" i="1" s="1"/>
  <c r="CU28" i="1"/>
  <c r="T28" i="1" s="1"/>
  <c r="CW28" i="1"/>
  <c r="V28" i="1" s="1"/>
  <c r="FR28" i="1"/>
  <c r="GL28" i="1"/>
  <c r="GN28" i="1"/>
  <c r="GP28" i="1"/>
  <c r="GV28" i="1"/>
  <c r="GX28" i="1"/>
  <c r="C29" i="1"/>
  <c r="D29" i="1"/>
  <c r="AC29" i="1"/>
  <c r="AE29" i="1"/>
  <c r="AF29" i="1"/>
  <c r="AG29" i="1"/>
  <c r="AH29" i="1"/>
  <c r="AI29" i="1"/>
  <c r="AJ29" i="1"/>
  <c r="CX29" i="1" s="1"/>
  <c r="W29" i="1" s="1"/>
  <c r="CU29" i="1"/>
  <c r="T29" i="1" s="1"/>
  <c r="CW29" i="1"/>
  <c r="V29" i="1" s="1"/>
  <c r="FR29" i="1"/>
  <c r="GL29" i="1"/>
  <c r="GN29" i="1"/>
  <c r="GP29" i="1"/>
  <c r="GV29" i="1"/>
  <c r="GX29" i="1" s="1"/>
  <c r="P30" i="1"/>
  <c r="AC30" i="1"/>
  <c r="AD30" i="1"/>
  <c r="CR30" i="1" s="1"/>
  <c r="Q30" i="1" s="1"/>
  <c r="AE30" i="1"/>
  <c r="AF30" i="1"/>
  <c r="CT30" i="1" s="1"/>
  <c r="S30" i="1" s="1"/>
  <c r="AG30" i="1"/>
  <c r="AH30" i="1"/>
  <c r="CV30" i="1" s="1"/>
  <c r="U30" i="1" s="1"/>
  <c r="AI30" i="1"/>
  <c r="AJ30" i="1"/>
  <c r="CX30" i="1" s="1"/>
  <c r="W30" i="1" s="1"/>
  <c r="CQ30" i="1"/>
  <c r="CS30" i="1"/>
  <c r="R30" i="1" s="1"/>
  <c r="GK30" i="1" s="1"/>
  <c r="CU30" i="1"/>
  <c r="T30" i="1" s="1"/>
  <c r="CW30" i="1"/>
  <c r="V30" i="1" s="1"/>
  <c r="FR30" i="1"/>
  <c r="GL30" i="1"/>
  <c r="GO30" i="1"/>
  <c r="GP30" i="1"/>
  <c r="GV30" i="1"/>
  <c r="GX30" i="1"/>
  <c r="AC31" i="1"/>
  <c r="CQ31" i="1" s="1"/>
  <c r="P31" i="1" s="1"/>
  <c r="U69" i="6" s="1"/>
  <c r="AD31" i="1"/>
  <c r="CR31" i="1" s="1"/>
  <c r="Q31" i="1" s="1"/>
  <c r="AE31" i="1"/>
  <c r="AF31" i="1"/>
  <c r="CT31" i="1" s="1"/>
  <c r="S31" i="1" s="1"/>
  <c r="AG31" i="1"/>
  <c r="AH31" i="1"/>
  <c r="CV31" i="1" s="1"/>
  <c r="U31" i="1" s="1"/>
  <c r="AI31" i="1"/>
  <c r="AJ31" i="1"/>
  <c r="CX31" i="1" s="1"/>
  <c r="W31" i="1" s="1"/>
  <c r="CS31" i="1"/>
  <c r="R31" i="1" s="1"/>
  <c r="GK31" i="1" s="1"/>
  <c r="CU31" i="1"/>
  <c r="T31" i="1" s="1"/>
  <c r="CW31" i="1"/>
  <c r="V31" i="1" s="1"/>
  <c r="FR31" i="1"/>
  <c r="GL31" i="1"/>
  <c r="GO31" i="1"/>
  <c r="GP31" i="1"/>
  <c r="GV31" i="1"/>
  <c r="GX31" i="1"/>
  <c r="P32" i="1"/>
  <c r="AC32" i="1"/>
  <c r="AD32" i="1"/>
  <c r="CR32" i="1" s="1"/>
  <c r="Q32" i="1" s="1"/>
  <c r="AE32" i="1"/>
  <c r="AF32" i="1"/>
  <c r="CT32" i="1" s="1"/>
  <c r="S32" i="1" s="1"/>
  <c r="AG32" i="1"/>
  <c r="AH32" i="1"/>
  <c r="CV32" i="1" s="1"/>
  <c r="U32" i="1" s="1"/>
  <c r="AI32" i="1"/>
  <c r="AJ32" i="1"/>
  <c r="CX32" i="1" s="1"/>
  <c r="W32" i="1" s="1"/>
  <c r="CQ32" i="1"/>
  <c r="CS32" i="1"/>
  <c r="R32" i="1" s="1"/>
  <c r="GK32" i="1" s="1"/>
  <c r="CU32" i="1"/>
  <c r="T32" i="1" s="1"/>
  <c r="CW32" i="1"/>
  <c r="V32" i="1" s="1"/>
  <c r="FR32" i="1"/>
  <c r="GL32" i="1"/>
  <c r="GO32" i="1"/>
  <c r="GP32" i="1"/>
  <c r="GV32" i="1"/>
  <c r="GX32" i="1"/>
  <c r="T33" i="1"/>
  <c r="AC33" i="1"/>
  <c r="CQ33" i="1" s="1"/>
  <c r="P33" i="1" s="1"/>
  <c r="U72" i="6" s="1"/>
  <c r="AD33" i="1"/>
  <c r="CR33" i="1" s="1"/>
  <c r="Q33" i="1" s="1"/>
  <c r="AE33" i="1"/>
  <c r="AF33" i="1"/>
  <c r="CT33" i="1" s="1"/>
  <c r="S33" i="1" s="1"/>
  <c r="AG33" i="1"/>
  <c r="AH33" i="1"/>
  <c r="CV33" i="1" s="1"/>
  <c r="U33" i="1" s="1"/>
  <c r="AI33" i="1"/>
  <c r="AJ33" i="1"/>
  <c r="CX33" i="1" s="1"/>
  <c r="W33" i="1" s="1"/>
  <c r="CS33" i="1"/>
  <c r="R33" i="1" s="1"/>
  <c r="GK33" i="1" s="1"/>
  <c r="CU33" i="1"/>
  <c r="CW33" i="1"/>
  <c r="V33" i="1" s="1"/>
  <c r="FR33" i="1"/>
  <c r="GL33" i="1"/>
  <c r="GO33" i="1"/>
  <c r="GP33" i="1"/>
  <c r="GV33" i="1"/>
  <c r="GX33" i="1"/>
  <c r="P34" i="1"/>
  <c r="R34" i="1"/>
  <c r="GK34" i="1" s="1"/>
  <c r="AC34" i="1"/>
  <c r="AD34" i="1"/>
  <c r="CR34" i="1" s="1"/>
  <c r="Q34" i="1" s="1"/>
  <c r="AE34" i="1"/>
  <c r="AF34" i="1"/>
  <c r="CT34" i="1" s="1"/>
  <c r="S34" i="1" s="1"/>
  <c r="CZ34" i="1" s="1"/>
  <c r="Y34" i="1" s="1"/>
  <c r="AG34" i="1"/>
  <c r="AH34" i="1"/>
  <c r="CV34" i="1" s="1"/>
  <c r="U34" i="1" s="1"/>
  <c r="AI34" i="1"/>
  <c r="AJ34" i="1"/>
  <c r="CX34" i="1" s="1"/>
  <c r="W34" i="1" s="1"/>
  <c r="CQ34" i="1"/>
  <c r="CS34" i="1"/>
  <c r="CU34" i="1"/>
  <c r="T34" i="1" s="1"/>
  <c r="CW34" i="1"/>
  <c r="V34" i="1" s="1"/>
  <c r="FR34" i="1"/>
  <c r="GL34" i="1"/>
  <c r="GO34" i="1"/>
  <c r="GP34" i="1"/>
  <c r="GV34" i="1"/>
  <c r="GX34" i="1"/>
  <c r="T35" i="1"/>
  <c r="V35" i="1"/>
  <c r="AC35" i="1"/>
  <c r="CQ35" i="1" s="1"/>
  <c r="P35" i="1" s="1"/>
  <c r="U75" i="6" s="1"/>
  <c r="AD35" i="1"/>
  <c r="CR35" i="1" s="1"/>
  <c r="Q35" i="1" s="1"/>
  <c r="AE35" i="1"/>
  <c r="AF35" i="1"/>
  <c r="CT35" i="1" s="1"/>
  <c r="S35" i="1" s="1"/>
  <c r="AG35" i="1"/>
  <c r="AH35" i="1"/>
  <c r="CV35" i="1" s="1"/>
  <c r="U35" i="1" s="1"/>
  <c r="AI35" i="1"/>
  <c r="AJ35" i="1"/>
  <c r="CX35" i="1" s="1"/>
  <c r="W35" i="1" s="1"/>
  <c r="CS35" i="1"/>
  <c r="R35" i="1" s="1"/>
  <c r="GK35" i="1" s="1"/>
  <c r="CU35" i="1"/>
  <c r="CW35" i="1"/>
  <c r="FR35" i="1"/>
  <c r="GL35" i="1"/>
  <c r="GO35" i="1"/>
  <c r="GP35" i="1"/>
  <c r="GV35" i="1"/>
  <c r="GX35" i="1"/>
  <c r="P36" i="1"/>
  <c r="R36" i="1"/>
  <c r="GK36" i="1" s="1"/>
  <c r="AC36" i="1"/>
  <c r="AD36" i="1"/>
  <c r="CR36" i="1" s="1"/>
  <c r="Q36" i="1" s="1"/>
  <c r="AE36" i="1"/>
  <c r="AF36" i="1"/>
  <c r="CT36" i="1" s="1"/>
  <c r="S36" i="1" s="1"/>
  <c r="AG36" i="1"/>
  <c r="AH36" i="1"/>
  <c r="CV36" i="1" s="1"/>
  <c r="U36" i="1" s="1"/>
  <c r="AI36" i="1"/>
  <c r="AJ36" i="1"/>
  <c r="CX36" i="1" s="1"/>
  <c r="W36" i="1" s="1"/>
  <c r="CQ36" i="1"/>
  <c r="CS36" i="1"/>
  <c r="CU36" i="1"/>
  <c r="T36" i="1" s="1"/>
  <c r="CW36" i="1"/>
  <c r="V36" i="1" s="1"/>
  <c r="FR36" i="1"/>
  <c r="GL36" i="1"/>
  <c r="GO36" i="1"/>
  <c r="GP36" i="1"/>
  <c r="GV36" i="1"/>
  <c r="GX36" i="1"/>
  <c r="T37" i="1"/>
  <c r="V37" i="1"/>
  <c r="AC37" i="1"/>
  <c r="CQ37" i="1" s="1"/>
  <c r="P37" i="1" s="1"/>
  <c r="U78" i="6" s="1"/>
  <c r="AD37" i="1"/>
  <c r="AE37" i="1"/>
  <c r="AF37" i="1"/>
  <c r="CT37" i="1" s="1"/>
  <c r="S37" i="1" s="1"/>
  <c r="AG37" i="1"/>
  <c r="AH37" i="1"/>
  <c r="CV37" i="1" s="1"/>
  <c r="U37" i="1" s="1"/>
  <c r="AI37" i="1"/>
  <c r="AJ37" i="1"/>
  <c r="CX37" i="1" s="1"/>
  <c r="W37" i="1" s="1"/>
  <c r="CS37" i="1"/>
  <c r="R37" i="1" s="1"/>
  <c r="GK37" i="1" s="1"/>
  <c r="CU37" i="1"/>
  <c r="CW37" i="1"/>
  <c r="FR37" i="1"/>
  <c r="GL37" i="1"/>
  <c r="GO37" i="1"/>
  <c r="GP37" i="1"/>
  <c r="GV37" i="1"/>
  <c r="GX37" i="1"/>
  <c r="P38" i="1"/>
  <c r="R38" i="1"/>
  <c r="GK38" i="1" s="1"/>
  <c r="AC38" i="1"/>
  <c r="AD38" i="1"/>
  <c r="CR38" i="1" s="1"/>
  <c r="Q38" i="1" s="1"/>
  <c r="AE38" i="1"/>
  <c r="AF38" i="1"/>
  <c r="CT38" i="1" s="1"/>
  <c r="S38" i="1" s="1"/>
  <c r="AG38" i="1"/>
  <c r="AH38" i="1"/>
  <c r="CV38" i="1" s="1"/>
  <c r="U38" i="1" s="1"/>
  <c r="AI38" i="1"/>
  <c r="AJ38" i="1"/>
  <c r="CX38" i="1" s="1"/>
  <c r="W38" i="1" s="1"/>
  <c r="CQ38" i="1"/>
  <c r="CS38" i="1"/>
  <c r="CU38" i="1"/>
  <c r="T38" i="1" s="1"/>
  <c r="CW38" i="1"/>
  <c r="V38" i="1" s="1"/>
  <c r="FR38" i="1"/>
  <c r="GL38" i="1"/>
  <c r="GO38" i="1"/>
  <c r="GP38" i="1"/>
  <c r="GV38" i="1"/>
  <c r="GX38" i="1"/>
  <c r="T39" i="1"/>
  <c r="AC39" i="1"/>
  <c r="AD39" i="1"/>
  <c r="CR39" i="1" s="1"/>
  <c r="Q39" i="1" s="1"/>
  <c r="AE39" i="1"/>
  <c r="AF39" i="1"/>
  <c r="CT39" i="1" s="1"/>
  <c r="S39" i="1" s="1"/>
  <c r="AG39" i="1"/>
  <c r="AH39" i="1"/>
  <c r="CV39" i="1" s="1"/>
  <c r="U39" i="1" s="1"/>
  <c r="AI39" i="1"/>
  <c r="AJ39" i="1"/>
  <c r="CX39" i="1" s="1"/>
  <c r="W39" i="1" s="1"/>
  <c r="CS39" i="1"/>
  <c r="R39" i="1" s="1"/>
  <c r="CU39" i="1"/>
  <c r="CW39" i="1"/>
  <c r="V39" i="1" s="1"/>
  <c r="FR39" i="1"/>
  <c r="GL39" i="1"/>
  <c r="GO39" i="1"/>
  <c r="GP39" i="1"/>
  <c r="GV39" i="1"/>
  <c r="GX39" i="1"/>
  <c r="P40" i="1"/>
  <c r="V40" i="1"/>
  <c r="AC40" i="1"/>
  <c r="AD40" i="1"/>
  <c r="CR40" i="1" s="1"/>
  <c r="Q40" i="1" s="1"/>
  <c r="AE40" i="1"/>
  <c r="AF40" i="1"/>
  <c r="CT40" i="1" s="1"/>
  <c r="S40" i="1" s="1"/>
  <c r="AG40" i="1"/>
  <c r="AH40" i="1"/>
  <c r="CV40" i="1" s="1"/>
  <c r="U40" i="1" s="1"/>
  <c r="AI40" i="1"/>
  <c r="AJ40" i="1"/>
  <c r="CX40" i="1" s="1"/>
  <c r="W40" i="1" s="1"/>
  <c r="CQ40" i="1"/>
  <c r="CS40" i="1"/>
  <c r="R40" i="1" s="1"/>
  <c r="CU40" i="1"/>
  <c r="T40" i="1" s="1"/>
  <c r="CW40" i="1"/>
  <c r="FR40" i="1"/>
  <c r="GL40" i="1"/>
  <c r="GO40" i="1"/>
  <c r="GP40" i="1"/>
  <c r="GV40" i="1"/>
  <c r="GX40" i="1" s="1"/>
  <c r="U41" i="1"/>
  <c r="AC41" i="1"/>
  <c r="AE41" i="1"/>
  <c r="AF41" i="1"/>
  <c r="AG41" i="1"/>
  <c r="CU41" i="1" s="1"/>
  <c r="T41" i="1" s="1"/>
  <c r="AH41" i="1"/>
  <c r="AI41" i="1"/>
  <c r="CW41" i="1" s="1"/>
  <c r="V41" i="1" s="1"/>
  <c r="AJ41" i="1"/>
  <c r="CT41" i="1"/>
  <c r="S41" i="1" s="1"/>
  <c r="CV41" i="1"/>
  <c r="CX41" i="1"/>
  <c r="W41" i="1" s="1"/>
  <c r="FR41" i="1"/>
  <c r="GL41" i="1"/>
  <c r="GO41" i="1"/>
  <c r="GP41" i="1"/>
  <c r="GV41" i="1"/>
  <c r="GX41" i="1" s="1"/>
  <c r="U42" i="1"/>
  <c r="AC42" i="1"/>
  <c r="AE42" i="1"/>
  <c r="AF42" i="1"/>
  <c r="AG42" i="1"/>
  <c r="CU42" i="1" s="1"/>
  <c r="T42" i="1" s="1"/>
  <c r="AH42" i="1"/>
  <c r="AI42" i="1"/>
  <c r="CW42" i="1" s="1"/>
  <c r="V42" i="1" s="1"/>
  <c r="AJ42" i="1"/>
  <c r="CT42" i="1"/>
  <c r="S42" i="1" s="1"/>
  <c r="CV42" i="1"/>
  <c r="CX42" i="1"/>
  <c r="W42" i="1" s="1"/>
  <c r="FR42" i="1"/>
  <c r="GL42" i="1"/>
  <c r="GO42" i="1"/>
  <c r="GP42" i="1"/>
  <c r="GV42" i="1"/>
  <c r="GX42" i="1" s="1"/>
  <c r="U43" i="1"/>
  <c r="AC43" i="1"/>
  <c r="AE43" i="1"/>
  <c r="AF43" i="1"/>
  <c r="AG43" i="1"/>
  <c r="CU43" i="1" s="1"/>
  <c r="T43" i="1" s="1"/>
  <c r="AH43" i="1"/>
  <c r="AI43" i="1"/>
  <c r="CW43" i="1" s="1"/>
  <c r="V43" i="1" s="1"/>
  <c r="AJ43" i="1"/>
  <c r="CT43" i="1"/>
  <c r="S43" i="1" s="1"/>
  <c r="CV43" i="1"/>
  <c r="CX43" i="1"/>
  <c r="W43" i="1" s="1"/>
  <c r="FR43" i="1"/>
  <c r="GL43" i="1"/>
  <c r="GO43" i="1"/>
  <c r="GP43" i="1"/>
  <c r="GV43" i="1"/>
  <c r="GX43" i="1" s="1"/>
  <c r="U44" i="1"/>
  <c r="AC44" i="1"/>
  <c r="AE44" i="1"/>
  <c r="AF44" i="1"/>
  <c r="AG44" i="1"/>
  <c r="CU44" i="1" s="1"/>
  <c r="T44" i="1" s="1"/>
  <c r="AH44" i="1"/>
  <c r="AI44" i="1"/>
  <c r="CW44" i="1" s="1"/>
  <c r="V44" i="1" s="1"/>
  <c r="AJ44" i="1"/>
  <c r="CT44" i="1"/>
  <c r="S44" i="1" s="1"/>
  <c r="CV44" i="1"/>
  <c r="CX44" i="1"/>
  <c r="W44" i="1" s="1"/>
  <c r="FR44" i="1"/>
  <c r="GL44" i="1"/>
  <c r="GO44" i="1"/>
  <c r="GP44" i="1"/>
  <c r="GV44" i="1"/>
  <c r="GX44" i="1" s="1"/>
  <c r="U45" i="1"/>
  <c r="AC45" i="1"/>
  <c r="AE45" i="1"/>
  <c r="AF45" i="1"/>
  <c r="AG45" i="1"/>
  <c r="CU45" i="1" s="1"/>
  <c r="T45" i="1" s="1"/>
  <c r="AH45" i="1"/>
  <c r="AI45" i="1"/>
  <c r="CW45" i="1" s="1"/>
  <c r="V45" i="1" s="1"/>
  <c r="AJ45" i="1"/>
  <c r="CT45" i="1"/>
  <c r="S45" i="1" s="1"/>
  <c r="CV45" i="1"/>
  <c r="CX45" i="1"/>
  <c r="W45" i="1" s="1"/>
  <c r="FR45" i="1"/>
  <c r="GL45" i="1"/>
  <c r="GO45" i="1"/>
  <c r="GP45" i="1"/>
  <c r="GV45" i="1"/>
  <c r="GX45" i="1" s="1"/>
  <c r="U46" i="1"/>
  <c r="AC46" i="1"/>
  <c r="AE46" i="1"/>
  <c r="AF46" i="1"/>
  <c r="AG46" i="1"/>
  <c r="CU46" i="1" s="1"/>
  <c r="T46" i="1" s="1"/>
  <c r="AH46" i="1"/>
  <c r="AI46" i="1"/>
  <c r="CW46" i="1" s="1"/>
  <c r="V46" i="1" s="1"/>
  <c r="AJ46" i="1"/>
  <c r="CT46" i="1"/>
  <c r="S46" i="1" s="1"/>
  <c r="CV46" i="1"/>
  <c r="CX46" i="1"/>
  <c r="W46" i="1" s="1"/>
  <c r="FR46" i="1"/>
  <c r="GL46" i="1"/>
  <c r="GO46" i="1"/>
  <c r="GP46" i="1"/>
  <c r="GV46" i="1"/>
  <c r="GX46" i="1" s="1"/>
  <c r="U47" i="1"/>
  <c r="AC47" i="1"/>
  <c r="AE47" i="1"/>
  <c r="AF47" i="1"/>
  <c r="AG47" i="1"/>
  <c r="CU47" i="1" s="1"/>
  <c r="T47" i="1" s="1"/>
  <c r="AH47" i="1"/>
  <c r="AI47" i="1"/>
  <c r="CW47" i="1" s="1"/>
  <c r="V47" i="1" s="1"/>
  <c r="AJ47" i="1"/>
  <c r="CT47" i="1"/>
  <c r="S47" i="1" s="1"/>
  <c r="CV47" i="1"/>
  <c r="CX47" i="1"/>
  <c r="W47" i="1" s="1"/>
  <c r="FR47" i="1"/>
  <c r="GL47" i="1"/>
  <c r="GO47" i="1"/>
  <c r="GP47" i="1"/>
  <c r="GV47" i="1"/>
  <c r="GX47" i="1" s="1"/>
  <c r="U48" i="1"/>
  <c r="AC48" i="1"/>
  <c r="AE48" i="1"/>
  <c r="AF48" i="1"/>
  <c r="AG48" i="1"/>
  <c r="CU48" i="1" s="1"/>
  <c r="T48" i="1" s="1"/>
  <c r="AH48" i="1"/>
  <c r="AI48" i="1"/>
  <c r="CW48" i="1" s="1"/>
  <c r="V48" i="1" s="1"/>
  <c r="AJ48" i="1"/>
  <c r="CT48" i="1"/>
  <c r="S48" i="1" s="1"/>
  <c r="CV48" i="1"/>
  <c r="CX48" i="1"/>
  <c r="W48" i="1" s="1"/>
  <c r="FR48" i="1"/>
  <c r="GL48" i="1"/>
  <c r="GO48" i="1"/>
  <c r="GP48" i="1"/>
  <c r="GV48" i="1"/>
  <c r="GX48" i="1" s="1"/>
  <c r="U49" i="1"/>
  <c r="AC49" i="1"/>
  <c r="AE49" i="1"/>
  <c r="AF49" i="1"/>
  <c r="AG49" i="1"/>
  <c r="CU49" i="1" s="1"/>
  <c r="T49" i="1" s="1"/>
  <c r="AH49" i="1"/>
  <c r="AI49" i="1"/>
  <c r="CW49" i="1" s="1"/>
  <c r="V49" i="1" s="1"/>
  <c r="AJ49" i="1"/>
  <c r="CT49" i="1"/>
  <c r="S49" i="1" s="1"/>
  <c r="CV49" i="1"/>
  <c r="CX49" i="1"/>
  <c r="W49" i="1" s="1"/>
  <c r="FR49" i="1"/>
  <c r="GL49" i="1"/>
  <c r="GO49" i="1"/>
  <c r="GP49" i="1"/>
  <c r="GV49" i="1"/>
  <c r="GX49" i="1" s="1"/>
  <c r="B51" i="1"/>
  <c r="B22" i="1" s="1"/>
  <c r="C51" i="1"/>
  <c r="C22" i="1" s="1"/>
  <c r="D51" i="1"/>
  <c r="D22" i="1" s="1"/>
  <c r="F51" i="1"/>
  <c r="F22" i="1" s="1"/>
  <c r="G51" i="1"/>
  <c r="G22" i="1" s="1"/>
  <c r="BX51" i="1"/>
  <c r="BX22" i="1" s="1"/>
  <c r="CK51" i="1"/>
  <c r="CK22" i="1" s="1"/>
  <c r="CL51" i="1"/>
  <c r="CL22" i="1" s="1"/>
  <c r="FP51" i="1"/>
  <c r="FP22" i="1" s="1"/>
  <c r="GC51" i="1"/>
  <c r="GC22" i="1" s="1"/>
  <c r="GD51" i="1"/>
  <c r="GD22" i="1" s="1"/>
  <c r="B80" i="1"/>
  <c r="B18" i="1" s="1"/>
  <c r="C80" i="1"/>
  <c r="C18" i="1" s="1"/>
  <c r="D80" i="1"/>
  <c r="D18" i="1" s="1"/>
  <c r="F80" i="1"/>
  <c r="F18" i="1" s="1"/>
  <c r="G80" i="1"/>
  <c r="G18" i="1" s="1"/>
  <c r="T96" i="6" l="1"/>
  <c r="H96" i="6"/>
  <c r="T93" i="6"/>
  <c r="H93" i="6"/>
  <c r="CZ36" i="1"/>
  <c r="Y36" i="1" s="1"/>
  <c r="T90" i="6"/>
  <c r="H90" i="6"/>
  <c r="T87" i="6"/>
  <c r="H87" i="6"/>
  <c r="T84" i="6"/>
  <c r="H84" i="6"/>
  <c r="CY37" i="1"/>
  <c r="X37" i="1" s="1"/>
  <c r="T81" i="6"/>
  <c r="H81" i="6"/>
  <c r="CQ39" i="1"/>
  <c r="P39" i="1" s="1"/>
  <c r="U81" i="6" s="1"/>
  <c r="S80" i="6"/>
  <c r="J80" i="6" s="1"/>
  <c r="K78" i="6"/>
  <c r="T78" i="6"/>
  <c r="H78" i="6"/>
  <c r="S77" i="6"/>
  <c r="J77" i="6" s="1"/>
  <c r="K75" i="6"/>
  <c r="T75" i="6"/>
  <c r="H75" i="6"/>
  <c r="CY35" i="1"/>
  <c r="X35" i="1" s="1"/>
  <c r="CP35" i="1"/>
  <c r="O35" i="1" s="1"/>
  <c r="S74" i="6"/>
  <c r="J74" i="6" s="1"/>
  <c r="K72" i="6"/>
  <c r="T72" i="6"/>
  <c r="H72" i="6"/>
  <c r="CP33" i="1"/>
  <c r="O33" i="1" s="1"/>
  <c r="CY33" i="1"/>
  <c r="X33" i="1" s="1"/>
  <c r="FQ51" i="1"/>
  <c r="FQ22" i="1" s="1"/>
  <c r="S71" i="6"/>
  <c r="J71" i="6" s="1"/>
  <c r="K69" i="6"/>
  <c r="T69" i="6"/>
  <c r="H69" i="6"/>
  <c r="CP31" i="1"/>
  <c r="O31" i="1" s="1"/>
  <c r="CP30" i="1"/>
  <c r="O30" i="1" s="1"/>
  <c r="CJ51" i="1"/>
  <c r="CJ22" i="1" s="1"/>
  <c r="AG51" i="1"/>
  <c r="AG22" i="1" s="1"/>
  <c r="AD29" i="1"/>
  <c r="CR29" i="1" s="1"/>
  <c r="Q29" i="1" s="1"/>
  <c r="U62" i="6" s="1"/>
  <c r="K62" i="6" s="1"/>
  <c r="H63" i="6"/>
  <c r="GM63" i="6"/>
  <c r="I63" i="6" s="1"/>
  <c r="CV29" i="1"/>
  <c r="U29" i="1" s="1"/>
  <c r="I67" i="6" s="1"/>
  <c r="H67" i="6"/>
  <c r="CQ29" i="1"/>
  <c r="P29" i="1" s="1"/>
  <c r="U64" i="6" s="1"/>
  <c r="K64" i="6" s="1"/>
  <c r="H64" i="6"/>
  <c r="T64" i="6"/>
  <c r="CT29" i="1"/>
  <c r="S29" i="1" s="1"/>
  <c r="U61" i="6" s="1"/>
  <c r="T61" i="6"/>
  <c r="T66" i="6"/>
  <c r="T65" i="6"/>
  <c r="H61" i="6"/>
  <c r="H65" i="6"/>
  <c r="H66" i="6"/>
  <c r="CS29" i="1"/>
  <c r="R29" i="1" s="1"/>
  <c r="FR51" i="1"/>
  <c r="FR22" i="1" s="1"/>
  <c r="BZ51" i="1"/>
  <c r="BZ22" i="1" s="1"/>
  <c r="AH51" i="1"/>
  <c r="AH22" i="1" s="1"/>
  <c r="CT27" i="1"/>
  <c r="S27" i="1" s="1"/>
  <c r="U55" i="6" s="1"/>
  <c r="T56" i="6"/>
  <c r="T57" i="6"/>
  <c r="H56" i="6"/>
  <c r="T55" i="6"/>
  <c r="H55" i="6"/>
  <c r="H57" i="6"/>
  <c r="CV27" i="1"/>
  <c r="U27" i="1" s="1"/>
  <c r="I58" i="6" s="1"/>
  <c r="H58" i="6"/>
  <c r="DY51" i="1"/>
  <c r="DY22" i="1" s="1"/>
  <c r="AI51" i="1"/>
  <c r="AI22" i="1" s="1"/>
  <c r="CS25" i="1"/>
  <c r="R25" i="1" s="1"/>
  <c r="K49" i="6" s="1"/>
  <c r="BY51" i="1"/>
  <c r="BY22" i="1" s="1"/>
  <c r="CT25" i="1"/>
  <c r="S25" i="1" s="1"/>
  <c r="U47" i="6" s="1"/>
  <c r="T47" i="6"/>
  <c r="T50" i="6"/>
  <c r="H47" i="6"/>
  <c r="T51" i="6"/>
  <c r="H50" i="6"/>
  <c r="H51" i="6"/>
  <c r="GB51" i="1"/>
  <c r="GB22" i="1" s="1"/>
  <c r="GM49" i="6"/>
  <c r="I49" i="6" s="1"/>
  <c r="H49" i="6"/>
  <c r="GK25" i="1"/>
  <c r="CV25" i="1"/>
  <c r="U25" i="1" s="1"/>
  <c r="H52" i="6"/>
  <c r="CR25" i="1"/>
  <c r="Q25" i="1" s="1"/>
  <c r="U48" i="6" s="1"/>
  <c r="K48" i="6" s="1"/>
  <c r="T48" i="6"/>
  <c r="H48" i="6"/>
  <c r="AB25" i="1"/>
  <c r="H46" i="6" s="1"/>
  <c r="EA51" i="1"/>
  <c r="EA22" i="1" s="1"/>
  <c r="AF51" i="1"/>
  <c r="GK40" i="1"/>
  <c r="GK39" i="1"/>
  <c r="AJ51" i="1"/>
  <c r="EB51" i="1"/>
  <c r="EU51" i="1"/>
  <c r="BC51" i="1"/>
  <c r="CQ48" i="1"/>
  <c r="P48" i="1" s="1"/>
  <c r="CQ46" i="1"/>
  <c r="P46" i="1" s="1"/>
  <c r="CQ44" i="1"/>
  <c r="P44" i="1" s="1"/>
  <c r="CQ42" i="1"/>
  <c r="P42" i="1" s="1"/>
  <c r="CZ38" i="1"/>
  <c r="Y38" i="1" s="1"/>
  <c r="CY38" i="1"/>
  <c r="X38" i="1" s="1"/>
  <c r="AB38" i="1"/>
  <c r="CY32" i="1"/>
  <c r="X32" i="1" s="1"/>
  <c r="ET51" i="1"/>
  <c r="BB51" i="1"/>
  <c r="AD49" i="1"/>
  <c r="CR49" i="1" s="1"/>
  <c r="Q49" i="1" s="1"/>
  <c r="CS49" i="1"/>
  <c r="R49" i="1" s="1"/>
  <c r="GK49" i="1" s="1"/>
  <c r="AD47" i="1"/>
  <c r="CR47" i="1" s="1"/>
  <c r="Q47" i="1" s="1"/>
  <c r="CS47" i="1"/>
  <c r="R47" i="1" s="1"/>
  <c r="GK47" i="1" s="1"/>
  <c r="AD45" i="1"/>
  <c r="CR45" i="1" s="1"/>
  <c r="Q45" i="1" s="1"/>
  <c r="CS45" i="1"/>
  <c r="R45" i="1" s="1"/>
  <c r="GK45" i="1" s="1"/>
  <c r="AD43" i="1"/>
  <c r="CR43" i="1" s="1"/>
  <c r="Q43" i="1" s="1"/>
  <c r="CS43" i="1"/>
  <c r="R43" i="1" s="1"/>
  <c r="GK43" i="1" s="1"/>
  <c r="AD41" i="1"/>
  <c r="CR41" i="1" s="1"/>
  <c r="Q41" i="1" s="1"/>
  <c r="CS41" i="1"/>
  <c r="R41" i="1" s="1"/>
  <c r="GK41" i="1" s="1"/>
  <c r="CZ39" i="1"/>
  <c r="Y39" i="1" s="1"/>
  <c r="CY39" i="1"/>
  <c r="X39" i="1" s="1"/>
  <c r="AB39" i="1"/>
  <c r="EG51" i="1"/>
  <c r="AO51" i="1"/>
  <c r="CQ49" i="1"/>
  <c r="P49" i="1" s="1"/>
  <c r="U96" i="6" s="1"/>
  <c r="AB49" i="1"/>
  <c r="CQ47" i="1"/>
  <c r="P47" i="1" s="1"/>
  <c r="U93" i="6" s="1"/>
  <c r="CQ45" i="1"/>
  <c r="P45" i="1" s="1"/>
  <c r="U90" i="6" s="1"/>
  <c r="AB45" i="1"/>
  <c r="CQ43" i="1"/>
  <c r="P43" i="1" s="1"/>
  <c r="U87" i="6" s="1"/>
  <c r="CQ41" i="1"/>
  <c r="P41" i="1" s="1"/>
  <c r="U84" i="6" s="1"/>
  <c r="AB41" i="1"/>
  <c r="CZ40" i="1"/>
  <c r="Y40" i="1" s="1"/>
  <c r="CY40" i="1"/>
  <c r="X40" i="1" s="1"/>
  <c r="AB40" i="1"/>
  <c r="AD48" i="1"/>
  <c r="CR48" i="1" s="1"/>
  <c r="Q48" i="1" s="1"/>
  <c r="CS48" i="1"/>
  <c r="R48" i="1" s="1"/>
  <c r="GK48" i="1" s="1"/>
  <c r="AD46" i="1"/>
  <c r="CR46" i="1" s="1"/>
  <c r="Q46" i="1" s="1"/>
  <c r="CS46" i="1"/>
  <c r="R46" i="1" s="1"/>
  <c r="GK46" i="1" s="1"/>
  <c r="AD44" i="1"/>
  <c r="CR44" i="1" s="1"/>
  <c r="Q44" i="1" s="1"/>
  <c r="CS44" i="1"/>
  <c r="R44" i="1" s="1"/>
  <c r="GK44" i="1" s="1"/>
  <c r="AD42" i="1"/>
  <c r="CR42" i="1" s="1"/>
  <c r="Q42" i="1" s="1"/>
  <c r="CS42" i="1"/>
  <c r="R42" i="1" s="1"/>
  <c r="GK42" i="1" s="1"/>
  <c r="CR37" i="1"/>
  <c r="Q37" i="1" s="1"/>
  <c r="AB37" i="1"/>
  <c r="CY31" i="1"/>
  <c r="X31" i="1" s="1"/>
  <c r="CY36" i="1"/>
  <c r="X36" i="1" s="1"/>
  <c r="CY34" i="1"/>
  <c r="X34" i="1" s="1"/>
  <c r="CY30" i="1"/>
  <c r="X30" i="1" s="1"/>
  <c r="CZ30" i="1"/>
  <c r="Y30" i="1" s="1"/>
  <c r="AB30" i="1"/>
  <c r="AB36" i="1"/>
  <c r="AB34" i="1"/>
  <c r="CZ32" i="1"/>
  <c r="Y32" i="1" s="1"/>
  <c r="AB32" i="1"/>
  <c r="CP40" i="1"/>
  <c r="O40" i="1" s="1"/>
  <c r="CP38" i="1"/>
  <c r="O38" i="1" s="1"/>
  <c r="CP36" i="1"/>
  <c r="O36" i="1" s="1"/>
  <c r="CP34" i="1"/>
  <c r="O34" i="1" s="1"/>
  <c r="CP32" i="1"/>
  <c r="O32" i="1" s="1"/>
  <c r="CZ37" i="1"/>
  <c r="Y37" i="1" s="1"/>
  <c r="CZ35" i="1"/>
  <c r="Y35" i="1" s="1"/>
  <c r="AB35" i="1"/>
  <c r="CZ33" i="1"/>
  <c r="Y33" i="1" s="1"/>
  <c r="GN33" i="1" s="1"/>
  <c r="AB33" i="1"/>
  <c r="CZ31" i="1"/>
  <c r="Y31" i="1" s="1"/>
  <c r="AB31" i="1"/>
  <c r="CZ24" i="1"/>
  <c r="Y24" i="1" s="1"/>
  <c r="CY24" i="1"/>
  <c r="X24" i="1" s="1"/>
  <c r="CP28" i="1"/>
  <c r="O28" i="1" s="1"/>
  <c r="CP26" i="1"/>
  <c r="O26" i="1" s="1"/>
  <c r="CZ28" i="1"/>
  <c r="Y28" i="1" s="1"/>
  <c r="CY28" i="1"/>
  <c r="X28" i="1" s="1"/>
  <c r="CZ26" i="1"/>
  <c r="Y26" i="1" s="1"/>
  <c r="CY26" i="1"/>
  <c r="X26" i="1" s="1"/>
  <c r="AB27" i="1"/>
  <c r="H54" i="6" s="1"/>
  <c r="CQ24" i="1"/>
  <c r="P24" i="1" s="1"/>
  <c r="AB28" i="1"/>
  <c r="AB26" i="1"/>
  <c r="S98" i="6" l="1"/>
  <c r="J98" i="6" s="1"/>
  <c r="K96" i="6"/>
  <c r="R98" i="6"/>
  <c r="HB96" i="6"/>
  <c r="GQ96" i="6"/>
  <c r="I96" i="6"/>
  <c r="GJ96" i="6"/>
  <c r="GP96" i="6"/>
  <c r="GN96" i="6"/>
  <c r="GS96" i="6"/>
  <c r="CP49" i="1"/>
  <c r="O49" i="1" s="1"/>
  <c r="S95" i="6"/>
  <c r="J95" i="6" s="1"/>
  <c r="K93" i="6"/>
  <c r="AD51" i="1"/>
  <c r="Q51" i="1" s="1"/>
  <c r="R95" i="6"/>
  <c r="HB93" i="6"/>
  <c r="GQ93" i="6"/>
  <c r="I93" i="6"/>
  <c r="GN93" i="6"/>
  <c r="GP93" i="6"/>
  <c r="GJ93" i="6"/>
  <c r="GS93" i="6"/>
  <c r="CP47" i="1"/>
  <c r="O47" i="1" s="1"/>
  <c r="S92" i="6"/>
  <c r="J92" i="6" s="1"/>
  <c r="K90" i="6"/>
  <c r="R92" i="6"/>
  <c r="HB90" i="6"/>
  <c r="GQ90" i="6"/>
  <c r="I90" i="6"/>
  <c r="GP90" i="6"/>
  <c r="GS90" i="6"/>
  <c r="GN90" i="6"/>
  <c r="GJ90" i="6"/>
  <c r="CP45" i="1"/>
  <c r="O45" i="1" s="1"/>
  <c r="CP39" i="1"/>
  <c r="O39" i="1" s="1"/>
  <c r="GM39" i="1" s="1"/>
  <c r="S89" i="6"/>
  <c r="J89" i="6" s="1"/>
  <c r="K87" i="6"/>
  <c r="R89" i="6"/>
  <c r="HB87" i="6"/>
  <c r="GQ87" i="6"/>
  <c r="I87" i="6"/>
  <c r="GP87" i="6"/>
  <c r="GN87" i="6"/>
  <c r="GS87" i="6"/>
  <c r="GJ87" i="6"/>
  <c r="CP43" i="1"/>
  <c r="O43" i="1" s="1"/>
  <c r="S86" i="6"/>
  <c r="J86" i="6" s="1"/>
  <c r="K84" i="6"/>
  <c r="R86" i="6"/>
  <c r="HB84" i="6"/>
  <c r="GQ84" i="6"/>
  <c r="I84" i="6"/>
  <c r="GP84" i="6"/>
  <c r="GN84" i="6"/>
  <c r="GS84" i="6"/>
  <c r="GJ84" i="6"/>
  <c r="S83" i="6"/>
  <c r="J83" i="6" s="1"/>
  <c r="K81" i="6"/>
  <c r="GM35" i="1"/>
  <c r="R83" i="6"/>
  <c r="HB81" i="6"/>
  <c r="GQ81" i="6"/>
  <c r="I81" i="6"/>
  <c r="GP81" i="6"/>
  <c r="GN81" i="6"/>
  <c r="GS81" i="6"/>
  <c r="GJ81" i="6"/>
  <c r="R80" i="6"/>
  <c r="HB78" i="6"/>
  <c r="GQ78" i="6"/>
  <c r="I78" i="6"/>
  <c r="GP78" i="6"/>
  <c r="GN78" i="6"/>
  <c r="GS78" i="6"/>
  <c r="GJ78" i="6"/>
  <c r="R77" i="6"/>
  <c r="HB75" i="6"/>
  <c r="GQ75" i="6"/>
  <c r="I75" i="6"/>
  <c r="GP75" i="6"/>
  <c r="GN75" i="6"/>
  <c r="GS75" i="6"/>
  <c r="GJ75" i="6"/>
  <c r="AB29" i="1"/>
  <c r="H60" i="6" s="1"/>
  <c r="H62" i="6"/>
  <c r="T62" i="6"/>
  <c r="R68" i="6" s="1"/>
  <c r="P99" i="6" s="1"/>
  <c r="R74" i="6"/>
  <c r="HB72" i="6"/>
  <c r="GQ72" i="6"/>
  <c r="I72" i="6"/>
  <c r="GP72" i="6"/>
  <c r="GN72" i="6"/>
  <c r="GS72" i="6"/>
  <c r="GJ72" i="6"/>
  <c r="EH51" i="1"/>
  <c r="GM30" i="1"/>
  <c r="R71" i="6"/>
  <c r="HB69" i="6"/>
  <c r="GQ69" i="6"/>
  <c r="I69" i="6"/>
  <c r="GP69" i="6"/>
  <c r="GN69" i="6"/>
  <c r="GS69" i="6"/>
  <c r="GJ69" i="6"/>
  <c r="T51" i="1"/>
  <c r="T80" i="1" s="1"/>
  <c r="GA51" i="1"/>
  <c r="ER51" i="1" s="1"/>
  <c r="DK99" i="6" s="1"/>
  <c r="GM31" i="1"/>
  <c r="BA51" i="1"/>
  <c r="BA22" i="1" s="1"/>
  <c r="CP29" i="1"/>
  <c r="O29" i="1" s="1"/>
  <c r="CY27" i="1"/>
  <c r="X27" i="1" s="1"/>
  <c r="U56" i="6" s="1"/>
  <c r="K56" i="6" s="1"/>
  <c r="CP27" i="1"/>
  <c r="O27" i="1" s="1"/>
  <c r="DX51" i="1"/>
  <c r="DX22" i="1" s="1"/>
  <c r="I65" i="6"/>
  <c r="GY65" i="6"/>
  <c r="HC65" i="6"/>
  <c r="GN64" i="6"/>
  <c r="EZ99" i="6" s="1"/>
  <c r="H105" i="6" s="1"/>
  <c r="HC64" i="6"/>
  <c r="FO99" i="6" s="1"/>
  <c r="GQ64" i="6"/>
  <c r="FC99" i="6" s="1"/>
  <c r="GP64" i="6"/>
  <c r="FB99" i="6" s="1"/>
  <c r="GS64" i="6"/>
  <c r="FE99" i="6" s="1"/>
  <c r="GJ64" i="6"/>
  <c r="EV99" i="6" s="1"/>
  <c r="H101" i="6" s="1"/>
  <c r="I64" i="6"/>
  <c r="GK29" i="1"/>
  <c r="K63" i="6"/>
  <c r="HC61" i="6"/>
  <c r="GJ61" i="6"/>
  <c r="I61" i="6"/>
  <c r="GK61" i="6"/>
  <c r="GZ66" i="6"/>
  <c r="HC66" i="6"/>
  <c r="I66" i="6"/>
  <c r="CZ27" i="1"/>
  <c r="Y27" i="1" s="1"/>
  <c r="U57" i="6" s="1"/>
  <c r="K57" i="6" s="1"/>
  <c r="K61" i="6"/>
  <c r="U51" i="1"/>
  <c r="F73" i="1" s="1"/>
  <c r="CG51" i="1"/>
  <c r="CG22" i="1" s="1"/>
  <c r="FY51" i="1"/>
  <c r="EP51" i="1" s="1"/>
  <c r="DG99" i="6" s="1"/>
  <c r="EI51" i="1"/>
  <c r="AQ51" i="1"/>
  <c r="AQ80" i="1" s="1"/>
  <c r="CZ29" i="1"/>
  <c r="Y29" i="1" s="1"/>
  <c r="U66" i="6" s="1"/>
  <c r="K66" i="6" s="1"/>
  <c r="CY29" i="1"/>
  <c r="X29" i="1" s="1"/>
  <c r="U65" i="6" s="1"/>
  <c r="K65" i="6" s="1"/>
  <c r="GZ57" i="6"/>
  <c r="I57" i="6"/>
  <c r="HE57" i="6"/>
  <c r="I56" i="6"/>
  <c r="HE56" i="6"/>
  <c r="GY56" i="6"/>
  <c r="CZ25" i="1"/>
  <c r="Y25" i="1" s="1"/>
  <c r="U51" i="6" s="1"/>
  <c r="K51" i="6" s="1"/>
  <c r="CP25" i="1"/>
  <c r="O25" i="1" s="1"/>
  <c r="CY25" i="1"/>
  <c r="X25" i="1" s="1"/>
  <c r="U50" i="6" s="1"/>
  <c r="K50" i="6" s="1"/>
  <c r="R59" i="6"/>
  <c r="GJ55" i="6"/>
  <c r="I55" i="6"/>
  <c r="HE55" i="6"/>
  <c r="GK55" i="6"/>
  <c r="K55" i="6"/>
  <c r="DL51" i="1"/>
  <c r="P72" i="1" s="1"/>
  <c r="V51" i="1"/>
  <c r="V22" i="1" s="1"/>
  <c r="AP51" i="1"/>
  <c r="F60" i="1" s="1"/>
  <c r="G16" i="2" s="1"/>
  <c r="G18" i="2" s="1"/>
  <c r="CI51" i="1"/>
  <c r="CI22" i="1" s="1"/>
  <c r="ES51" i="1"/>
  <c r="ES80" i="1" s="1"/>
  <c r="R53" i="6"/>
  <c r="HC47" i="6"/>
  <c r="GJ47" i="6"/>
  <c r="GK47" i="6"/>
  <c r="I47" i="6"/>
  <c r="I50" i="6"/>
  <c r="HC50" i="6"/>
  <c r="GY50" i="6"/>
  <c r="DV51" i="1"/>
  <c r="DV22" i="1" s="1"/>
  <c r="I52" i="6"/>
  <c r="DZ51" i="1"/>
  <c r="GZ51" i="6"/>
  <c r="I51" i="6"/>
  <c r="HC51" i="6"/>
  <c r="K47" i="6"/>
  <c r="HC48" i="6"/>
  <c r="GL48" i="6"/>
  <c r="GJ48" i="6"/>
  <c r="I48" i="6"/>
  <c r="DL22" i="1"/>
  <c r="DN51" i="1"/>
  <c r="GM26" i="1"/>
  <c r="GP26" i="1"/>
  <c r="CD51" i="1" s="1"/>
  <c r="CP24" i="1"/>
  <c r="O24" i="1" s="1"/>
  <c r="AC51" i="1"/>
  <c r="GM28" i="1"/>
  <c r="GO28" i="1"/>
  <c r="CP41" i="1"/>
  <c r="O41" i="1" s="1"/>
  <c r="DU51" i="1"/>
  <c r="GM33" i="1"/>
  <c r="AB42" i="1"/>
  <c r="AB46" i="1"/>
  <c r="EU22" i="1"/>
  <c r="P67" i="1"/>
  <c r="EU80" i="1"/>
  <c r="EB22" i="1"/>
  <c r="DO51" i="1"/>
  <c r="DW51" i="1"/>
  <c r="AF22" i="1"/>
  <c r="S51" i="1"/>
  <c r="CZ44" i="1"/>
  <c r="Y44" i="1" s="1"/>
  <c r="CZ46" i="1"/>
  <c r="Y46" i="1" s="1"/>
  <c r="CZ48" i="1"/>
  <c r="Y48" i="1" s="1"/>
  <c r="GM34" i="1"/>
  <c r="GN34" i="1"/>
  <c r="GM36" i="1"/>
  <c r="GN36" i="1"/>
  <c r="AB43" i="1"/>
  <c r="AB47" i="1"/>
  <c r="ET22" i="1"/>
  <c r="ET80" i="1"/>
  <c r="P64" i="1"/>
  <c r="GN35" i="1"/>
  <c r="CP42" i="1"/>
  <c r="O42" i="1" s="1"/>
  <c r="CP46" i="1"/>
  <c r="O46" i="1" s="1"/>
  <c r="BC22" i="1"/>
  <c r="BC80" i="1"/>
  <c r="F67" i="1"/>
  <c r="AJ22" i="1"/>
  <c r="W51" i="1"/>
  <c r="CZ41" i="1"/>
  <c r="Y41" i="1" s="1"/>
  <c r="CY42" i="1"/>
  <c r="X42" i="1" s="1"/>
  <c r="CY44" i="1"/>
  <c r="X44" i="1" s="1"/>
  <c r="CY46" i="1"/>
  <c r="X46" i="1" s="1"/>
  <c r="CY48" i="1"/>
  <c r="X48" i="1" s="1"/>
  <c r="GM38" i="1"/>
  <c r="GN38" i="1"/>
  <c r="AD22" i="1"/>
  <c r="GN31" i="1"/>
  <c r="AO22" i="1"/>
  <c r="F55" i="1"/>
  <c r="AO80" i="1"/>
  <c r="EG22" i="1"/>
  <c r="P55" i="1"/>
  <c r="EG80" i="1"/>
  <c r="AB44" i="1"/>
  <c r="AB48" i="1"/>
  <c r="AE51" i="1"/>
  <c r="CY41" i="1"/>
  <c r="X41" i="1" s="1"/>
  <c r="CZ43" i="1"/>
  <c r="Y43" i="1" s="1"/>
  <c r="CZ45" i="1"/>
  <c r="Y45" i="1" s="1"/>
  <c r="CZ47" i="1"/>
  <c r="Y47" i="1" s="1"/>
  <c r="CZ49" i="1"/>
  <c r="Y49" i="1" s="1"/>
  <c r="GM32" i="1"/>
  <c r="GN32" i="1"/>
  <c r="GM40" i="1"/>
  <c r="GN40" i="1"/>
  <c r="GN30" i="1"/>
  <c r="BB22" i="1"/>
  <c r="F64" i="1"/>
  <c r="BB80" i="1"/>
  <c r="CP37" i="1"/>
  <c r="O37" i="1" s="1"/>
  <c r="CP44" i="1"/>
  <c r="O44" i="1" s="1"/>
  <c r="CP48" i="1"/>
  <c r="O48" i="1" s="1"/>
  <c r="CZ42" i="1"/>
  <c r="Y42" i="1" s="1"/>
  <c r="CY43" i="1"/>
  <c r="X43" i="1" s="1"/>
  <c r="CY45" i="1"/>
  <c r="X45" i="1" s="1"/>
  <c r="CY47" i="1"/>
  <c r="X47" i="1" s="1"/>
  <c r="GM47" i="1" s="1"/>
  <c r="CY49" i="1"/>
  <c r="X49" i="1" s="1"/>
  <c r="GN49" i="1" s="1"/>
  <c r="EH80" i="1" l="1"/>
  <c r="DS99" i="6"/>
  <c r="J113" i="6" s="1"/>
  <c r="DI99" i="6"/>
  <c r="P74" i="1"/>
  <c r="EU99" i="6"/>
  <c r="CX99" i="6"/>
  <c r="P61" i="1"/>
  <c r="DJ99" i="6"/>
  <c r="H112" i="6"/>
  <c r="FR99" i="6"/>
  <c r="HA98" i="6"/>
  <c r="H98" i="6"/>
  <c r="H95" i="6"/>
  <c r="HA95" i="6"/>
  <c r="GN39" i="1"/>
  <c r="HA92" i="6"/>
  <c r="H92" i="6"/>
  <c r="GM45" i="1"/>
  <c r="AL51" i="1"/>
  <c r="AL22" i="1" s="1"/>
  <c r="F72" i="1"/>
  <c r="HA89" i="6"/>
  <c r="H89" i="6"/>
  <c r="GN43" i="1"/>
  <c r="AK51" i="1"/>
  <c r="AK22" i="1" s="1"/>
  <c r="EI80" i="1"/>
  <c r="P90" i="1" s="1"/>
  <c r="GA22" i="1"/>
  <c r="HA86" i="6"/>
  <c r="H86" i="6"/>
  <c r="GJ62" i="6"/>
  <c r="HA83" i="6"/>
  <c r="H83" i="6"/>
  <c r="FY22" i="1"/>
  <c r="P71" i="1"/>
  <c r="EH22" i="1"/>
  <c r="GL62" i="6"/>
  <c r="HC62" i="6"/>
  <c r="HA80" i="6"/>
  <c r="H80" i="6"/>
  <c r="I62" i="6"/>
  <c r="HA77" i="6"/>
  <c r="H77" i="6"/>
  <c r="EC51" i="1"/>
  <c r="EC22" i="1" s="1"/>
  <c r="ES22" i="1"/>
  <c r="HA74" i="6"/>
  <c r="H74" i="6"/>
  <c r="T22" i="1"/>
  <c r="DL80" i="1"/>
  <c r="P101" i="1" s="1"/>
  <c r="P60" i="1"/>
  <c r="V16" i="2" s="1"/>
  <c r="V18" i="2" s="1"/>
  <c r="BA80" i="1"/>
  <c r="BA18" i="1" s="1"/>
  <c r="F71" i="1"/>
  <c r="DN80" i="1"/>
  <c r="P103" i="1" s="1"/>
  <c r="HA71" i="6"/>
  <c r="H71" i="6"/>
  <c r="DK51" i="1"/>
  <c r="DK22" i="1" s="1"/>
  <c r="EI22" i="1"/>
  <c r="V80" i="1"/>
  <c r="V18" i="1" s="1"/>
  <c r="F61" i="1"/>
  <c r="F74" i="1"/>
  <c r="AQ22" i="1"/>
  <c r="S59" i="6"/>
  <c r="J59" i="6" s="1"/>
  <c r="H68" i="6"/>
  <c r="HA68" i="6"/>
  <c r="FM99" i="6" s="1"/>
  <c r="AP22" i="1"/>
  <c r="ED51" i="1"/>
  <c r="DQ51" i="1" s="1"/>
  <c r="GM29" i="1"/>
  <c r="GM27" i="1"/>
  <c r="GO29" i="1"/>
  <c r="GP27" i="1"/>
  <c r="FV51" i="1" s="1"/>
  <c r="FV22" i="1" s="1"/>
  <c r="S53" i="6"/>
  <c r="J53" i="6" s="1"/>
  <c r="GO25" i="1"/>
  <c r="S68" i="6"/>
  <c r="U80" i="1"/>
  <c r="U18" i="1" s="1"/>
  <c r="U22" i="1"/>
  <c r="AP80" i="1"/>
  <c r="AP18" i="1" s="1"/>
  <c r="AX51" i="1"/>
  <c r="AX22" i="1" s="1"/>
  <c r="GM25" i="1"/>
  <c r="AZ51" i="1"/>
  <c r="AZ22" i="1" s="1"/>
  <c r="HA59" i="6"/>
  <c r="H59" i="6"/>
  <c r="DT51" i="1"/>
  <c r="DT22" i="1" s="1"/>
  <c r="DI51" i="1"/>
  <c r="P63" i="1" s="1"/>
  <c r="DZ22" i="1"/>
  <c r="DM51" i="1"/>
  <c r="DN22" i="1"/>
  <c r="HA53" i="6"/>
  <c r="H53" i="6"/>
  <c r="DL18" i="1"/>
  <c r="BB18" i="1"/>
  <c r="F93" i="1"/>
  <c r="AO18" i="1"/>
  <c r="F84" i="1"/>
  <c r="GN47" i="1"/>
  <c r="Q22" i="1"/>
  <c r="Q80" i="1"/>
  <c r="F63" i="1"/>
  <c r="ER22" i="1"/>
  <c r="ER80" i="1"/>
  <c r="P62" i="1"/>
  <c r="S22" i="1"/>
  <c r="F66" i="1"/>
  <c r="J16" i="2" s="1"/>
  <c r="J18" i="2" s="1"/>
  <c r="S80" i="1"/>
  <c r="DW22" i="1"/>
  <c r="DJ51" i="1"/>
  <c r="GN45" i="1"/>
  <c r="GM24" i="1"/>
  <c r="GO24" i="1"/>
  <c r="CC51" i="1" s="1"/>
  <c r="AB51" i="1"/>
  <c r="GN48" i="1"/>
  <c r="GM48" i="1"/>
  <c r="EP22" i="1"/>
  <c r="P58" i="1"/>
  <c r="EP80" i="1"/>
  <c r="EI18" i="1"/>
  <c r="ES18" i="1"/>
  <c r="P100" i="1"/>
  <c r="EG18" i="1"/>
  <c r="P84" i="1"/>
  <c r="GM43" i="1"/>
  <c r="GN46" i="1"/>
  <c r="GM46" i="1"/>
  <c r="ET18" i="1"/>
  <c r="P93" i="1"/>
  <c r="DO22" i="1"/>
  <c r="DO80" i="1"/>
  <c r="P75" i="1"/>
  <c r="EH18" i="1"/>
  <c r="P89" i="1"/>
  <c r="GM49" i="1"/>
  <c r="DU22" i="1"/>
  <c r="DH51" i="1"/>
  <c r="DC99" i="6" s="1"/>
  <c r="J105" i="6" s="1"/>
  <c r="FX51" i="1"/>
  <c r="FZ51" i="1"/>
  <c r="FW51" i="1"/>
  <c r="CD22" i="1"/>
  <c r="AU51" i="1"/>
  <c r="GM37" i="1"/>
  <c r="GN37" i="1"/>
  <c r="GN44" i="1"/>
  <c r="GM44" i="1"/>
  <c r="W22" i="1"/>
  <c r="F75" i="1"/>
  <c r="W80" i="1"/>
  <c r="GN42" i="1"/>
  <c r="GM42" i="1"/>
  <c r="T18" i="1"/>
  <c r="F101" i="1"/>
  <c r="GN41" i="1"/>
  <c r="GM41" i="1"/>
  <c r="AE22" i="1"/>
  <c r="R51" i="1"/>
  <c r="BC18" i="1"/>
  <c r="F96" i="1"/>
  <c r="EU18" i="1"/>
  <c r="P96" i="1"/>
  <c r="AQ18" i="1"/>
  <c r="F90" i="1"/>
  <c r="AC22" i="1"/>
  <c r="P51" i="1"/>
  <c r="CF51" i="1"/>
  <c r="CH51" i="1"/>
  <c r="CE51" i="1"/>
  <c r="J68" i="6" l="1"/>
  <c r="Q99" i="6"/>
  <c r="H109" i="6"/>
  <c r="H116" i="6" s="1"/>
  <c r="I38" i="6" s="1"/>
  <c r="H99" i="6"/>
  <c r="P66" i="1"/>
  <c r="Y16" i="2" s="1"/>
  <c r="Y18" i="2" s="1"/>
  <c r="CB51" i="1"/>
  <c r="CB22" i="1" s="1"/>
  <c r="Y51" i="1"/>
  <c r="FT51" i="1"/>
  <c r="FT22" i="1" s="1"/>
  <c r="X51" i="1"/>
  <c r="X22" i="1" s="1"/>
  <c r="DK80" i="1"/>
  <c r="DK18" i="1" s="1"/>
  <c r="DN18" i="1"/>
  <c r="F58" i="1"/>
  <c r="AX80" i="1"/>
  <c r="AX18" i="1" s="1"/>
  <c r="FU51" i="1"/>
  <c r="FU22" i="1" s="1"/>
  <c r="F100" i="1"/>
  <c r="DP51" i="1"/>
  <c r="P76" i="1" s="1"/>
  <c r="DI22" i="1"/>
  <c r="F103" i="1"/>
  <c r="EM51" i="1"/>
  <c r="EM22" i="1" s="1"/>
  <c r="F89" i="1"/>
  <c r="ED22" i="1"/>
  <c r="FS51" i="1"/>
  <c r="EJ51" i="1" s="1"/>
  <c r="DP99" i="6" s="1"/>
  <c r="AZ80" i="1"/>
  <c r="AZ18" i="1" s="1"/>
  <c r="F62" i="1"/>
  <c r="F102" i="1"/>
  <c r="DI80" i="1"/>
  <c r="DI18" i="1" s="1"/>
  <c r="DG51" i="1"/>
  <c r="DM22" i="1"/>
  <c r="DM80" i="1"/>
  <c r="P73" i="1"/>
  <c r="P22" i="1"/>
  <c r="F54" i="1"/>
  <c r="P80" i="1"/>
  <c r="CE22" i="1"/>
  <c r="AV51" i="1"/>
  <c r="R22" i="1"/>
  <c r="F65" i="1"/>
  <c r="R80" i="1"/>
  <c r="W18" i="1"/>
  <c r="F104" i="1"/>
  <c r="FW22" i="1"/>
  <c r="EN51" i="1"/>
  <c r="DE99" i="6" s="1"/>
  <c r="EP18" i="1"/>
  <c r="P87" i="1"/>
  <c r="Q18" i="1"/>
  <c r="F92" i="1"/>
  <c r="FZ22" i="1"/>
  <c r="EQ51" i="1"/>
  <c r="DH99" i="6" s="1"/>
  <c r="DO18" i="1"/>
  <c r="P104" i="1"/>
  <c r="AB22" i="1"/>
  <c r="O51" i="1"/>
  <c r="DJ22" i="1"/>
  <c r="P65" i="1"/>
  <c r="DJ80" i="1"/>
  <c r="ER18" i="1"/>
  <c r="P91" i="1"/>
  <c r="AU22" i="1"/>
  <c r="F70" i="1"/>
  <c r="H16" i="2" s="1"/>
  <c r="H18" i="2" s="1"/>
  <c r="AU80" i="1"/>
  <c r="FX22" i="1"/>
  <c r="EO51" i="1"/>
  <c r="DF99" i="6" s="1"/>
  <c r="CC22" i="1"/>
  <c r="AT51" i="1"/>
  <c r="DQ22" i="1"/>
  <c r="P77" i="1"/>
  <c r="DQ80" i="1"/>
  <c r="Y22" i="1"/>
  <c r="Y80" i="1"/>
  <c r="F77" i="1"/>
  <c r="CH22" i="1"/>
  <c r="AY51" i="1"/>
  <c r="CF22" i="1"/>
  <c r="AW51" i="1"/>
  <c r="DH22" i="1"/>
  <c r="P54" i="1"/>
  <c r="DH80" i="1"/>
  <c r="CA51" i="1"/>
  <c r="S18" i="1"/>
  <c r="F95" i="1"/>
  <c r="AS51" i="1" l="1"/>
  <c r="P53" i="1"/>
  <c r="CY99" i="6"/>
  <c r="J101" i="6" s="1"/>
  <c r="EM80" i="1"/>
  <c r="P99" i="1" s="1"/>
  <c r="DT99" i="6"/>
  <c r="J114" i="6" s="1"/>
  <c r="J109" i="6"/>
  <c r="J116" i="6" s="1"/>
  <c r="J99" i="6"/>
  <c r="X80" i="1"/>
  <c r="P70" i="1"/>
  <c r="W16" i="2" s="1"/>
  <c r="W18" i="2" s="1"/>
  <c r="EK51" i="1"/>
  <c r="P95" i="1"/>
  <c r="F76" i="1"/>
  <c r="F91" i="1"/>
  <c r="F87" i="1"/>
  <c r="DP80" i="1"/>
  <c r="DP18" i="1" s="1"/>
  <c r="DP22" i="1"/>
  <c r="EL51" i="1"/>
  <c r="FS22" i="1"/>
  <c r="P92" i="1"/>
  <c r="DG22" i="1"/>
  <c r="DG80" i="1"/>
  <c r="DG18" i="1" s="1"/>
  <c r="DM18" i="1"/>
  <c r="P102" i="1"/>
  <c r="CA22" i="1"/>
  <c r="AR51" i="1"/>
  <c r="G8" i="1" s="1"/>
  <c r="X18" i="1"/>
  <c r="F105" i="1"/>
  <c r="DH18" i="1"/>
  <c r="P83" i="1"/>
  <c r="DQ18" i="1"/>
  <c r="P106" i="1"/>
  <c r="DJ18" i="1"/>
  <c r="P94" i="1"/>
  <c r="AV22" i="1"/>
  <c r="F56" i="1"/>
  <c r="AV80" i="1"/>
  <c r="EJ22" i="1"/>
  <c r="EJ80" i="1"/>
  <c r="P78" i="1"/>
  <c r="AW22" i="1"/>
  <c r="F57" i="1"/>
  <c r="AW80" i="1"/>
  <c r="AT22" i="1"/>
  <c r="F69" i="1"/>
  <c r="F16" i="2" s="1"/>
  <c r="F18" i="2" s="1"/>
  <c r="AT80" i="1"/>
  <c r="AU18" i="1"/>
  <c r="F99" i="1"/>
  <c r="R18" i="1"/>
  <c r="F94" i="1"/>
  <c r="P18" i="1"/>
  <c r="F83" i="1"/>
  <c r="Y18" i="1"/>
  <c r="F106" i="1"/>
  <c r="AS22" i="1"/>
  <c r="F68" i="1"/>
  <c r="E16" i="2" s="1"/>
  <c r="AS80" i="1"/>
  <c r="AY22" i="1"/>
  <c r="AY80" i="1"/>
  <c r="F59" i="1"/>
  <c r="EO22" i="1"/>
  <c r="P57" i="1"/>
  <c r="EO80" i="1"/>
  <c r="O22" i="1"/>
  <c r="F53" i="1"/>
  <c r="O80" i="1"/>
  <c r="EQ22" i="1"/>
  <c r="P59" i="1"/>
  <c r="EQ80" i="1"/>
  <c r="EN22" i="1"/>
  <c r="P56" i="1"/>
  <c r="EN80" i="1"/>
  <c r="EM18" i="1" l="1"/>
  <c r="EK22" i="1"/>
  <c r="DU99" i="6"/>
  <c r="DQ99" i="6"/>
  <c r="J111" i="6" s="1"/>
  <c r="J38" i="6"/>
  <c r="J117" i="6"/>
  <c r="J118" i="6" s="1"/>
  <c r="E26" i="6"/>
  <c r="P69" i="1"/>
  <c r="U16" i="2" s="1"/>
  <c r="U18" i="2" s="1"/>
  <c r="DR99" i="6"/>
  <c r="J112" i="6" s="1"/>
  <c r="P68" i="1"/>
  <c r="T16" i="2" s="1"/>
  <c r="T18" i="2" s="1"/>
  <c r="EK80" i="1"/>
  <c r="EK18" i="1" s="1"/>
  <c r="P105" i="1"/>
  <c r="EL22" i="1"/>
  <c r="P82" i="1"/>
  <c r="EL80" i="1"/>
  <c r="P98" i="1" s="1"/>
  <c r="EQ18" i="1"/>
  <c r="P88" i="1"/>
  <c r="AS18" i="1"/>
  <c r="F97" i="1"/>
  <c r="AT18" i="1"/>
  <c r="F98" i="1"/>
  <c r="I16" i="2"/>
  <c r="I18" i="2" s="1"/>
  <c r="E18" i="2"/>
  <c r="AV18" i="1"/>
  <c r="F85" i="1"/>
  <c r="AY18" i="1"/>
  <c r="F88" i="1"/>
  <c r="AR22" i="1"/>
  <c r="F78" i="1"/>
  <c r="AR80" i="1"/>
  <c r="EN18" i="1"/>
  <c r="P85" i="1"/>
  <c r="EO18" i="1"/>
  <c r="P86" i="1"/>
  <c r="O18" i="1"/>
  <c r="F82" i="1"/>
  <c r="AW18" i="1"/>
  <c r="F86" i="1"/>
  <c r="EJ18" i="1"/>
  <c r="P107" i="1"/>
  <c r="X16" i="2" l="1"/>
  <c r="X18" i="2" s="1"/>
  <c r="P97" i="1"/>
  <c r="EL18" i="1"/>
  <c r="AR18" i="1"/>
  <c r="F107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B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E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B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E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B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E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B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E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B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E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E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E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E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C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D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  <comment ref="B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Должность</t>
        </r>
      </text>
    </comment>
    <comment ref="E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Ф.И.О.</t>
        </r>
      </text>
    </comment>
    <comment ref="B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Должность</t>
        </r>
      </text>
    </comment>
    <comment ref="E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Ф.И.О.</t>
        </r>
      </text>
    </comment>
  </commentList>
</comments>
</file>

<file path=xl/sharedStrings.xml><?xml version="1.0" encoding="utf-8"?>
<sst xmlns="http://schemas.openxmlformats.org/spreadsheetml/2006/main" count="2056" uniqueCount="362">
  <si>
    <t>Smeta.RU  (495) 974-1589</t>
  </si>
  <si>
    <t>_PS_</t>
  </si>
  <si>
    <t>Smeta.RU</t>
  </si>
  <si>
    <t/>
  </si>
  <si>
    <t>'Новые цены'Техническое перевооружение ТП,РП. Замена МВ на ВВ</t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</si>
  <si>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</si>
  <si>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</si>
  <si>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</si>
  <si>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</si>
  <si>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</si>
  <si>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</si>
  <si>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</si>
  <si>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</si>
  <si>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м08-01-059-01</t>
  </si>
  <si>
    <t>Выключатель масляный ВМПП, ВК или ВКЭ с приводом (демонтаж)</t>
  </si>
  <si>
    <t>ШТ</t>
  </si>
  <si>
    <t>ФЕРм-2001, м08-01-059-01, приказ Минстроя России №1039/пр от 30.12.2016г.</t>
  </si>
  <si>
    <t>Поправка: Табл.3, п.2  Наименование: Демонтаж: Оборудование, пригодное для дальнейшего использования, со снятием с места установки, необходимой (частичной) разборкой без надобности хранения (перемещается на другое место установки и т.п.)</t>
  </si>
  <si>
    <t>)*0</t>
  </si>
  <si>
    <t>)*0,6</t>
  </si>
  <si>
    <t>Монтажные работы</t>
  </si>
  <si>
    <t>Электромонтажные работы  (ФЕРм-08, отдел 01-03)</t>
  </si>
  <si>
    <t>ФЕРм-08</t>
  </si>
  <si>
    <t>Поправка: Табл.3, п.2</t>
  </si>
  <si>
    <t>*0,85</t>
  </si>
  <si>
    <t>*0,8</t>
  </si>
  <si>
    <t>2</t>
  </si>
  <si>
    <t>п01-06-010-03</t>
  </si>
  <si>
    <t>Блок питания</t>
  </si>
  <si>
    <t>ФЕРп-2001, п01-06-010-03,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</si>
  <si>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</si>
  <si>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</si>
  <si>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</si>
  <si>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3</t>
  </si>
  <si>
    <t>м08-01-058-02</t>
  </si>
  <si>
    <t>Выключатель нагрузки с приводом электромагнитным</t>
  </si>
  <si>
    <t>ФЕРм-2001, м08-01-058-02, приказ Минстроя России №1039/пр от 30.12.2016г.</t>
  </si>
  <si>
    <t>4</t>
  </si>
  <si>
    <t>Прайс-лист</t>
  </si>
  <si>
    <t>Выключатель ВВ\TEL-10</t>
  </si>
  <si>
    <t>шт.</t>
  </si>
  <si>
    <t>шт</t>
  </si>
  <si>
    <t>Материалы ( строительные )</t>
  </si>
  <si>
    <t>Материалы, изделия и конструкции</t>
  </si>
  <si>
    <t>ресурс_Материалы (03)</t>
  </si>
  <si>
    <t>[200 100 /  7,5]</t>
  </si>
  <si>
    <t>5</t>
  </si>
  <si>
    <t>Болт шестигранный 10*40</t>
  </si>
  <si>
    <t>[7,94 /  7,5]</t>
  </si>
  <si>
    <t>6</t>
  </si>
  <si>
    <t>Болт шестигранный 12*40</t>
  </si>
  <si>
    <t>[9,69 /  7,5]</t>
  </si>
  <si>
    <t>7</t>
  </si>
  <si>
    <t>Гайка шестигр.DIN934 M10</t>
  </si>
  <si>
    <t>[2,38 /  7,5]</t>
  </si>
  <si>
    <t>8</t>
  </si>
  <si>
    <t>[3,44 /  7,5]</t>
  </si>
  <si>
    <t>9</t>
  </si>
  <si>
    <t>Круг отрезной 125х1,0х22</t>
  </si>
  <si>
    <t>[22,03 /  7,5]</t>
  </si>
  <si>
    <t>10</t>
  </si>
  <si>
    <t>Уголок 50*50*5</t>
  </si>
  <si>
    <t>кг</t>
  </si>
  <si>
    <t>[45,53 /  7,5]</t>
  </si>
  <si>
    <t>11</t>
  </si>
  <si>
    <t>Шайба ф10 оц.</t>
  </si>
  <si>
    <t>[263,53 /  7,5]</t>
  </si>
  <si>
    <t>12</t>
  </si>
  <si>
    <t>Шайба ф12</t>
  </si>
  <si>
    <t>[222,1 /  7,5]</t>
  </si>
  <si>
    <t>13</t>
  </si>
  <si>
    <t>Эмаль универсальная черная 520мл аэрозоль</t>
  </si>
  <si>
    <t>[123,39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</si>
  <si>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</si>
  <si>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</si>
  <si>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</si>
  <si>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</si>
  <si>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</si>
  <si>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</si>
  <si>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</si>
  <si>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</si>
  <si>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</si>
  <si>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</si>
  <si>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</si>
  <si>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</si>
  <si>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</si>
  <si>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</si>
  <si>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</si>
  <si>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</si>
  <si>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</si>
  <si>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</si>
  <si>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</si>
  <si>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</si>
  <si>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</si>
  <si>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</si>
  <si>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</si>
  <si>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</si>
  <si>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</si>
  <si>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</si>
  <si>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</si>
  <si>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</si>
  <si>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</si>
  <si>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</si>
  <si>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</si>
  <si>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</si>
  <si>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</si>
  <si>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</si>
  <si>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</si>
  <si>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</si>
  <si>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</si>
  <si>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</si>
  <si>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</si>
  <si>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</si>
  <si>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</si>
  <si>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</si>
  <si>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</si>
  <si>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</si>
  <si>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</si>
  <si>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</si>
  <si>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</si>
  <si>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</si>
  <si>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</si>
  <si>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</si>
  <si>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</si>
  <si>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</si>
  <si>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</si>
  <si>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</si>
  <si>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</si>
  <si>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</si>
  <si>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</si>
  <si>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</si>
  <si>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</si>
  <si>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</si>
  <si>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</si>
  <si>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</si>
  <si>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</si>
  <si>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</si>
  <si>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</si>
  <si>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</si>
  <si>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</si>
  <si>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</si>
  <si>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</si>
  <si>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</si>
  <si>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</si>
  <si>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</si>
  <si>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</si>
  <si>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</si>
  <si>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</si>
  <si>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</si>
  <si>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</si>
  <si>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</si>
  <si>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</si>
  <si>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</si>
  <si>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</si>
  <si>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</si>
  <si>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</si>
  <si>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</si>
  <si>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</si>
  <si>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</si>
  <si>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</si>
  <si>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</si>
  <si>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</si>
  <si>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</si>
  <si>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</si>
  <si>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</si>
  <si>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</si>
  <si>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</si>
  <si>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</si>
  <si>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</si>
  <si>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</si>
  <si>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</si>
  <si>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</si>
  <si>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</si>
  <si>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</si>
  <si>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</si>
  <si>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</si>
  <si>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</si>
  <si>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</si>
  <si>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</si>
  <si>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</si>
  <si>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</si>
  <si>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</si>
  <si>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</si>
  <si>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</si>
  <si>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</si>
  <si>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</si>
  <si>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</si>
  <si>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</si>
  <si>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1-100-40</t>
  </si>
  <si>
    <t>Рабочий среднего разряда 4</t>
  </si>
  <si>
    <t>чел.-ч.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</si>
  <si>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</si>
  <si>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</si>
  <si>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</si>
  <si>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</si>
  <si>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</si>
  <si>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</si>
  <si>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91.06.03-058</t>
  </si>
  <si>
    <t>ФСЭМ-2001, 91.06.03-058, приказ Минстроя России №1039/пр от 30.12.2016г.</t>
  </si>
  <si>
    <t>Лебедки электрические тяговым усилием 156,96 кН (16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</si>
  <si>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</si>
  <si>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</si>
  <si>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</si>
  <si>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2-300-20</t>
  </si>
  <si>
    <t>Техник по наладке и испытаниям, категория II</t>
  </si>
  <si>
    <t>2-400-20</t>
  </si>
  <si>
    <t>Инженер по наладке и испытаниям, категория II</t>
  </si>
  <si>
    <t>01.7.15.03-0042</t>
  </si>
  <si>
    <t>ФССЦ-2001, 01.7.15.03-0042, приказ Минстроя России №1039/пр от 30.12.2016г.</t>
  </si>
  <si>
    <t>Болты с гайками и шайбами строительные</t>
  </si>
  <si>
    <t>01.7.15.11-0026</t>
  </si>
  <si>
    <t>ФССЦ-2001, 01.7.15.11-0026, приказ Минстроя России №1039/пр от 30.12.2016г.</t>
  </si>
  <si>
    <t>Шайбы квадратные</t>
  </si>
  <si>
    <t>100 шт.</t>
  </si>
  <si>
    <t>14.4.02.09-0001</t>
  </si>
  <si>
    <t>ФССЦ-2001, 14.4.02.09-0001, приказ Минстроя России №1039/пр от 30.12.2016г.</t>
  </si>
  <si>
    <t>Краска</t>
  </si>
  <si>
    <t>999-9950</t>
  </si>
  <si>
    <t>Вспомогательные ненормируемые материалы (2% от ОЗП)</t>
  </si>
  <si>
    <t>РУБ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</si>
  <si>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</si>
  <si>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</si>
  <si>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</si>
  <si>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т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</si>
  <si>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</si>
  <si>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</si>
  <si>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</si>
  <si>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</si>
  <si>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</si>
  <si>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</si>
  <si>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</si>
  <si>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</si>
  <si>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</si>
  <si>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</si>
  <si>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</si>
  <si>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</si>
  <si>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</si>
  <si>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</si>
  <si>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</si>
  <si>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</si>
  <si>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</si>
  <si>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</si>
  <si>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</si>
  <si>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Новые цены'Техническое перевооружение ТП,РП. Замена МВ на ВВ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</si>
  <si>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</si>
  <si>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</si>
  <si>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</si>
  <si>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</si>
  <si>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</si>
  <si>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</si>
  <si>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</si>
  <si>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</si>
  <si>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</si>
  <si>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</si>
  <si>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</si>
  <si>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</si>
  <si>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</si>
  <si>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</si>
  <si>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</si>
  <si>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</si>
  <si>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</si>
  <si>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</si>
  <si>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</si>
  <si>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</si>
  <si>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</si>
  <si>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</si>
  <si>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</si>
  <si>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</si>
  <si>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I квартал 2018 г.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</si>
  <si>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</si>
  <si>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</si>
  <si>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</si>
  <si>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</si>
  <si>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</si>
  <si>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</si>
  <si>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</si>
  <si>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</si>
  <si>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</si>
  <si>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</si>
  <si>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</si>
  <si>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</si>
  <si>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</si>
  <si>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</si>
  <si>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</si>
  <si>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</si>
  <si>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I квартал 2018 г., руб.</t>
  </si>
  <si>
    <t xml:space="preserve">   ОЗП</t>
  </si>
  <si>
    <t>*0,6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</si>
  <si>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</si>
  <si>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</si>
  <si>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</si>
  <si>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</si>
  <si>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</si>
  <si>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</si>
  <si>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65%*0,8=52%</t>
  </si>
  <si>
    <t xml:space="preserve">   Затраты труда рабочих</t>
  </si>
  <si>
    <t>чел-ч</t>
  </si>
  <si>
    <t>65%*0,85=55%</t>
  </si>
  <si>
    <t>40%*0,8=32%</t>
  </si>
  <si>
    <t xml:space="preserve">   Материальные ресурсы</t>
  </si>
  <si>
    <t xml:space="preserve"> Расчет цены </t>
  </si>
  <si>
    <t xml:space="preserve">   [200 100 /  7,5] = 26680</t>
  </si>
  <si>
    <t xml:space="preserve">   [7,94 /  7,5] = 1.06</t>
  </si>
  <si>
    <t xml:space="preserve">   [9,69 /  7,5] = 1.29</t>
  </si>
  <si>
    <t xml:space="preserve">   [2,38 /  7,5] = .32</t>
  </si>
  <si>
    <t xml:space="preserve">   [3,44 /  7,5] = .46</t>
  </si>
  <si>
    <t xml:space="preserve">   [22,03 /  7,5] = 2.94</t>
  </si>
  <si>
    <t xml:space="preserve">   [45,53 /  7,5] = 6.07</t>
  </si>
  <si>
    <t xml:space="preserve">   [263,53 /  7,5] = 35.14</t>
  </si>
  <si>
    <t xml:space="preserve">   [222,1 /  7,5] = 29.61</t>
  </si>
  <si>
    <t xml:space="preserve">   [123,39 /  7,5] = 16.45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</si>
  <si>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</si>
  <si>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</si>
  <si>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</si>
  <si>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</si>
  <si>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</si>
  <si>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</si>
  <si>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</si>
  <si>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</si>
  <si>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</si>
  <si>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</si>
  <si>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</si>
  <si>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</si>
  <si>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</si>
  <si>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</si>
  <si>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</si>
  <si>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</si>
  <si>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</si>
  <si>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</si>
  <si>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</si>
  <si>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</si>
  <si>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</si>
  <si>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</si>
  <si>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</si>
  <si>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</si>
  <si>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</si>
  <si>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Унифицированная форма № КС-3</t>
  </si>
  <si>
    <t>0322001</t>
  </si>
  <si>
    <t>Объект</t>
  </si>
  <si>
    <t xml:space="preserve">Вид деятельности по ОКДП  </t>
  </si>
  <si>
    <t>СПРАВКА</t>
  </si>
  <si>
    <t>О СТОИМОСТИ ВЫПОЛНЕННЫХ РАБОТ И ЗАТРАТ</t>
  </si>
  <si>
    <t>№</t>
  </si>
  <si>
    <t>п/п</t>
  </si>
  <si>
    <t>Наименование пусковых комплексов,</t>
  </si>
  <si>
    <t xml:space="preserve">этапов, объектов, видов выполненных </t>
  </si>
  <si>
    <t xml:space="preserve">работ, оборудования , затрат </t>
  </si>
  <si>
    <t>с начала</t>
  </si>
  <si>
    <t>проведения</t>
  </si>
  <si>
    <t>работ</t>
  </si>
  <si>
    <t>года</t>
  </si>
  <si>
    <t>в том числе</t>
  </si>
  <si>
    <t>за отчетный</t>
  </si>
  <si>
    <t>период</t>
  </si>
  <si>
    <t>Стоимость вып. работ и затрат, руб</t>
  </si>
  <si>
    <t>Всего работ и затрат, включаемых в стоимость работ</t>
  </si>
  <si>
    <t>в том числе:</t>
  </si>
  <si>
    <t>ИТОГО</t>
  </si>
  <si>
    <t>НДС, %</t>
  </si>
  <si>
    <t>ВСЕГО c НДС</t>
  </si>
  <si>
    <t>Техническое перевооружение ТП,РП. Замена МВ на ВВ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</si>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</sst>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sz val="8"/>
      <color rgb="FFFFFFF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gray0625">
        <fgColor indexed="11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3" fillId="0" borderId="0" xfId="0" applyFont="1" applyAlignment="1">
      <alignment wrapText="1"/>
    </xf>
    <xf numFmtId="49" fontId="13" fillId="0" borderId="0" xfId="0" applyNumberFormat="1" applyFont="1" applyAlignment="1">
      <alignment wrapText="1"/>
    </xf>
    <xf numFmtId="14" fontId="0" fillId="0" borderId="0" xfId="0" applyNumberFormat="1"/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5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right" wrapText="1"/>
    </xf>
    <xf numFmtId="0" fontId="21" fillId="0" borderId="24" xfId="0" applyFont="1" applyBorder="1" applyAlignment="1">
      <alignment horizontal="right" shrinkToFit="1"/>
    </xf>
    <xf numFmtId="4" fontId="12" fillId="0" borderId="24" xfId="0" applyNumberFormat="1" applyFont="1" applyBorder="1" applyAlignment="1">
      <alignment vertical="top" shrinkToFit="1"/>
    </xf>
    <xf numFmtId="4" fontId="12" fillId="0" borderId="26" xfId="0" applyNumberFormat="1" applyFont="1" applyBorder="1" applyAlignment="1">
      <alignment vertical="top" shrinkToFit="1"/>
    </xf>
    <xf numFmtId="49" fontId="12" fillId="0" borderId="24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7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9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right" vertical="top" wrapText="1"/>
    </xf>
    <xf numFmtId="0" fontId="12" fillId="0" borderId="29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9" xfId="0" applyNumberFormat="1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8" fillId="0" borderId="29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right" vertical="top" wrapText="1"/>
    </xf>
    <xf numFmtId="0" fontId="12" fillId="0" borderId="31" xfId="0" applyFont="1" applyBorder="1" applyAlignment="1">
      <alignment horizontal="right" vertical="top" shrinkToFit="1"/>
    </xf>
    <xf numFmtId="0" fontId="12" fillId="0" borderId="31" xfId="0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0" fontId="12" fillId="0" borderId="32" xfId="0" applyFont="1" applyBorder="1" applyAlignment="1">
      <alignment vertical="top" shrinkToFit="1"/>
    </xf>
    <xf numFmtId="0" fontId="12" fillId="0" borderId="33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4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26" fillId="0" borderId="0" xfId="0" applyFont="1"/>
    <xf numFmtId="49" fontId="18" fillId="0" borderId="0" xfId="0" applyNumberFormat="1" applyFont="1" applyAlignment="1">
      <alignment wrapText="1"/>
    </xf>
    <xf numFmtId="0" fontId="12" fillId="0" borderId="0" xfId="0" applyFont="1" applyAlignment="1">
      <alignment horizontal="right" vertical="top"/>
    </xf>
    <xf numFmtId="0" fontId="18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14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4" xfId="0" applyBorder="1"/>
    <xf numFmtId="0" fontId="12" fillId="0" borderId="18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left" vertical="top" wrapText="1"/>
    </xf>
    <xf numFmtId="4" fontId="21" fillId="2" borderId="22" xfId="0" applyNumberFormat="1" applyFont="1" applyFill="1" applyBorder="1" applyAlignment="1">
      <alignment horizontal="right" shrinkToFit="1"/>
    </xf>
    <xf numFmtId="4" fontId="21" fillId="2" borderId="21" xfId="0" applyNumberFormat="1" applyFont="1" applyFill="1" applyBorder="1" applyAlignment="1">
      <alignment horizontal="right" shrinkToFit="1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 horizontal="left" vertical="top" wrapText="1"/>
    </xf>
    <xf numFmtId="4" fontId="21" fillId="0" borderId="4" xfId="0" applyNumberFormat="1" applyFont="1" applyBorder="1" applyAlignment="1">
      <alignment horizontal="right" shrinkToFit="1"/>
    </xf>
    <xf numFmtId="4" fontId="21" fillId="0" borderId="6" xfId="0" applyNumberFormat="1" applyFont="1" applyBorder="1" applyAlignment="1">
      <alignment horizontal="right" shrinkToFit="1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left" vertical="top" wrapText="1"/>
    </xf>
    <xf numFmtId="4" fontId="21" fillId="0" borderId="2" xfId="0" applyNumberFormat="1" applyFont="1" applyBorder="1" applyAlignment="1">
      <alignment horizontal="right" shrinkToFit="1"/>
    </xf>
    <xf numFmtId="4" fontId="21" fillId="0" borderId="10" xfId="0" applyNumberFormat="1" applyFont="1" applyBorder="1" applyAlignment="1">
      <alignment horizontal="right" shrinkToFit="1"/>
    </xf>
    <xf numFmtId="4" fontId="21" fillId="2" borderId="2" xfId="0" applyNumberFormat="1" applyFont="1" applyFill="1" applyBorder="1" applyAlignment="1">
      <alignment horizontal="right" shrinkToFit="1"/>
    </xf>
    <xf numFmtId="4" fontId="21" fillId="2" borderId="10" xfId="0" applyNumberFormat="1" applyFont="1" applyFill="1" applyBorder="1" applyAlignment="1">
      <alignment horizontal="right" shrinkToFit="1"/>
    </xf>
    <xf numFmtId="0" fontId="12" fillId="0" borderId="9" xfId="0" applyFont="1" applyBorder="1" applyAlignment="1">
      <alignment horizontal="left" wrapText="1"/>
    </xf>
    <xf numFmtId="0" fontId="11" fillId="0" borderId="0" xfId="0" applyFont="1"/>
    <xf numFmtId="0" fontId="11" fillId="0" borderId="0" xfId="0" applyFont="1" applyAlignment="1">
      <alignment horizontal="left" vertical="top"/>
    </xf>
    <xf numFmtId="49" fontId="12" fillId="0" borderId="24" xfId="0" applyNumberFormat="1" applyFont="1" applyBorder="1" applyAlignment="1">
      <alignment vertical="top" wrapText="1" shrinkToFit="1"/>
    </xf>
    <xf numFmtId="0" fontId="12" fillId="0" borderId="24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9" xfId="0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5" xfId="0" applyFont="1" applyBorder="1"/>
    <xf numFmtId="0" fontId="12" fillId="0" borderId="36" xfId="0" applyFont="1" applyBorder="1" applyAlignment="1">
      <alignment horizontal="left" vertical="top"/>
    </xf>
    <xf numFmtId="0" fontId="11" fillId="0" borderId="36" xfId="0" applyFont="1" applyBorder="1"/>
    <xf numFmtId="0" fontId="11" fillId="0" borderId="37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0" fontId="12" fillId="0" borderId="0" xfId="0" applyFont="1" applyAlignment="1">
      <alignment horizontal="right" vertical="top"/>
    </xf>
    <xf numFmtId="49" fontId="18" fillId="0" borderId="2" xfId="0" applyNumberFormat="1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14" fontId="18" fillId="0" borderId="2" xfId="0" applyNumberFormat="1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left" vertical="top" wrapText="1"/>
    </xf>
    <xf numFmtId="49" fontId="0" fillId="0" borderId="8" xfId="0" applyNumberFormat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2" xfId="0" applyFont="1" applyBorder="1" applyAlignment="1">
      <alignment horizontal="center"/>
    </xf>
    <xf numFmtId="4" fontId="18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0" fontId="18" fillId="0" borderId="0" xfId="0" applyFont="1" applyAlignment="1"/>
    <xf numFmtId="0" fontId="11" fillId="0" borderId="0" xfId="0" applyFont="1" applyAlignment="1"/>
    <xf numFmtId="4" fontId="18" fillId="0" borderId="22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3" xfId="0" applyNumberFormat="1" applyFont="1" applyBorder="1" applyAlignment="1">
      <alignment vertical="top" shrinkToFit="1"/>
    </xf>
    <xf numFmtId="4" fontId="18" fillId="0" borderId="19" xfId="0" applyNumberFormat="1" applyFont="1" applyBorder="1" applyAlignment="1">
      <alignment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1" fillId="0" borderId="0" xfId="0" quotePrefix="1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8" fillId="0" borderId="3" xfId="0" quotePrefix="1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48"/>
  <sheetViews>
    <sheetView workbookViewId="0">
      <selection activeCell="A22" sqref="A22:F22"/>
    </sheetView>
  </sheetViews>
  <sheetFormatPr defaultRowHeight="12.75" x14ac:dyDescent="0.2"/>
  <cols>
    <col min="1" max="1" width="10.7109375" customWidth="1"/>
    <col min="2" max="2" width="31.7109375" customWidth="1"/>
    <col min="3" max="6" width="10.7109375" customWidth="1"/>
    <col min="10" max="69" width="0" hidden="1" customWidth="1"/>
    <col min="70" max="71" width="42.7109375" hidden="1" customWidth="1"/>
    <col min="72" max="72" width="82.7109375" hidden="1" customWidth="1"/>
    <col min="73" max="74" width="0" hidden="1" customWidth="1"/>
    <col min="75" max="75" width="21.7109375" hidden="1" customWidth="1"/>
    <col min="76" max="76" width="0" hidden="1" customWidth="1"/>
    <col min="77" max="77" width="32.7109375" hidden="1" customWidth="1"/>
    <col min="78" max="78" width="21.7109375" hidden="1" customWidth="1"/>
    <col min="79" max="256" width="0" hidden="1" customWidth="1"/>
  </cols>
  <sheetData>
    <row r="1" spans="1:255" s="14" customFormat="1" ht="11.25" x14ac:dyDescent="0.2">
      <c r="A1" s="14" t="s">
        <v>229</v>
      </c>
    </row>
    <row r="2" spans="1:255" x14ac:dyDescent="0.2">
      <c r="C2" s="166" t="s">
        <v>336</v>
      </c>
      <c r="D2" s="167"/>
      <c r="E2" s="167"/>
      <c r="F2" s="167"/>
    </row>
    <row r="3" spans="1:255" x14ac:dyDescent="0.2">
      <c r="C3" s="166" t="s">
        <v>231</v>
      </c>
      <c r="D3" s="167"/>
      <c r="E3" s="167"/>
      <c r="F3" s="167"/>
    </row>
    <row r="4" spans="1:255" x14ac:dyDescent="0.2">
      <c r="C4" s="166" t="s">
        <v>232</v>
      </c>
      <c r="D4" s="167"/>
      <c r="E4" s="167"/>
      <c r="F4" s="167"/>
    </row>
    <row r="5" spans="1:255" s="13" customFormat="1" ht="11.25" x14ac:dyDescent="0.2">
      <c r="E5" s="168" t="s">
        <v>233</v>
      </c>
      <c r="F5" s="161"/>
    </row>
    <row r="6" spans="1:255" s="13" customFormat="1" ht="11.25" x14ac:dyDescent="0.2">
      <c r="D6" s="87" t="s">
        <v>234</v>
      </c>
      <c r="E6" s="156" t="s">
        <v>337</v>
      </c>
      <c r="F6" s="161"/>
    </row>
    <row r="7" spans="1:255" x14ac:dyDescent="0.2">
      <c r="A7" s="18" t="s">
        <v>236</v>
      </c>
      <c r="B7" s="164"/>
      <c r="C7" s="165"/>
      <c r="D7" s="16" t="s">
        <v>237</v>
      </c>
      <c r="E7" s="156"/>
      <c r="F7" s="163"/>
      <c r="BR7" s="84">
        <f>B7</f>
        <v>0</v>
      </c>
      <c r="IU7" s="20"/>
    </row>
    <row r="8" spans="1:255" x14ac:dyDescent="0.2">
      <c r="A8" s="18" t="s">
        <v>238</v>
      </c>
      <c r="B8" s="162"/>
      <c r="C8" s="155"/>
      <c r="D8" s="16" t="s">
        <v>237</v>
      </c>
      <c r="E8" s="156"/>
      <c r="F8" s="163"/>
      <c r="BR8" s="84">
        <f>B8</f>
        <v>0</v>
      </c>
      <c r="IU8" s="20"/>
    </row>
    <row r="9" spans="1:255" x14ac:dyDescent="0.2">
      <c r="A9" s="18" t="s">
        <v>239</v>
      </c>
      <c r="B9" s="162"/>
      <c r="C9" s="155"/>
      <c r="D9" s="16" t="s">
        <v>237</v>
      </c>
      <c r="E9" s="156"/>
      <c r="F9" s="163"/>
      <c r="BR9" s="84">
        <f>B9</f>
        <v>0</v>
      </c>
      <c r="IU9" s="20"/>
    </row>
    <row r="10" spans="1:255" x14ac:dyDescent="0.2">
      <c r="A10" s="18" t="s">
        <v>240</v>
      </c>
      <c r="B10" s="162"/>
      <c r="C10" s="155"/>
      <c r="D10" s="16" t="s">
        <v>237</v>
      </c>
      <c r="E10" s="156"/>
      <c r="F10" s="163"/>
      <c r="BR10" s="84">
        <f>B10</f>
        <v>0</v>
      </c>
      <c r="IU10" s="20"/>
    </row>
    <row r="11" spans="1:255" x14ac:dyDescent="0.2">
      <c r="A11" s="88" t="s">
        <v>241</v>
      </c>
      <c r="B11" s="154"/>
      <c r="C11" s="155"/>
      <c r="E11" s="156"/>
      <c r="F11" s="157"/>
      <c r="BS11" s="25">
        <f>B11</f>
        <v>0</v>
      </c>
      <c r="IU11" s="20"/>
    </row>
    <row r="12" spans="1:255" ht="22.5" x14ac:dyDescent="0.2">
      <c r="A12" s="88" t="s">
        <v>338</v>
      </c>
      <c r="B12" s="158" t="s">
        <v>243</v>
      </c>
      <c r="C12" s="159"/>
      <c r="E12" s="156"/>
      <c r="F12" s="157"/>
      <c r="BS12" s="25" t="str">
        <f>B12</f>
        <v>Новые цены'Техническое перевооружение ТП,РП. Замена МВ на ВВ</v>
      </c>
      <c r="IU12" s="20"/>
    </row>
    <row r="13" spans="1:255" s="13" customFormat="1" ht="11.25" x14ac:dyDescent="0.2">
      <c r="B13" s="160" t="s">
        <v>339</v>
      </c>
      <c r="C13" s="160"/>
      <c r="D13" s="160"/>
      <c r="E13" s="156"/>
      <c r="F13" s="161"/>
    </row>
    <row r="14" spans="1:255" s="13" customFormat="1" x14ac:dyDescent="0.2">
      <c r="B14" s="144" t="s">
        <v>246</v>
      </c>
      <c r="C14" s="144"/>
      <c r="D14" s="89" t="s">
        <v>247</v>
      </c>
      <c r="E14" s="145"/>
      <c r="F14" s="146"/>
      <c r="BW14" s="92">
        <f>E14</f>
        <v>0</v>
      </c>
      <c r="IU14" s="91"/>
    </row>
    <row r="15" spans="1:255" s="13" customFormat="1" x14ac:dyDescent="0.2">
      <c r="D15" s="90" t="s">
        <v>248</v>
      </c>
      <c r="E15" s="147"/>
      <c r="F15" s="148"/>
    </row>
    <row r="16" spans="1:255" s="13" customFormat="1" x14ac:dyDescent="0.2">
      <c r="D16" s="93" t="s">
        <v>249</v>
      </c>
      <c r="E16" s="149"/>
      <c r="F16" s="150"/>
    </row>
    <row r="18" spans="1:255" x14ac:dyDescent="0.2">
      <c r="C18" s="151" t="s">
        <v>250</v>
      </c>
      <c r="D18" s="151" t="s">
        <v>251</v>
      </c>
      <c r="E18" s="151" t="s">
        <v>252</v>
      </c>
      <c r="F18" s="153"/>
    </row>
    <row r="19" spans="1:255" ht="13.5" thickBot="1" x14ac:dyDescent="0.25">
      <c r="C19" s="152"/>
      <c r="D19" s="152"/>
      <c r="E19" s="28" t="s">
        <v>253</v>
      </c>
      <c r="F19" s="29" t="s">
        <v>254</v>
      </c>
    </row>
    <row r="20" spans="1:255" ht="13.5" thickBot="1" x14ac:dyDescent="0.25">
      <c r="A20" s="94"/>
      <c r="B20" s="94"/>
      <c r="C20" s="95"/>
      <c r="D20" s="96"/>
      <c r="E20" s="97"/>
      <c r="F20" s="98"/>
    </row>
    <row r="22" spans="1:255" ht="14.25" x14ac:dyDescent="0.3">
      <c r="A22" s="137" t="s">
        <v>340</v>
      </c>
      <c r="B22" s="138"/>
      <c r="C22" s="138"/>
      <c r="D22" s="138"/>
      <c r="E22" s="138"/>
      <c r="F22" s="138"/>
    </row>
    <row r="23" spans="1:255" ht="13.5" x14ac:dyDescent="0.25">
      <c r="A23" s="139" t="s">
        <v>341</v>
      </c>
      <c r="B23" s="138"/>
      <c r="C23" s="138"/>
      <c r="D23" s="138"/>
      <c r="E23" s="138"/>
      <c r="F23" s="138"/>
    </row>
    <row r="24" spans="1:255" x14ac:dyDescent="0.2">
      <c r="A24" s="140"/>
      <c r="B24" s="138"/>
      <c r="C24" s="138"/>
      <c r="D24" s="138"/>
      <c r="E24" s="138"/>
      <c r="F24" s="138"/>
      <c r="BT24" s="22">
        <f>A24</f>
        <v>0</v>
      </c>
      <c r="IU24" s="20"/>
    </row>
    <row r="25" spans="1:255" ht="13.5" thickBot="1" x14ac:dyDescent="0.25"/>
    <row r="26" spans="1:255" ht="34.5" customHeight="1" thickBot="1" x14ac:dyDescent="0.25">
      <c r="A26" s="101" t="s">
        <v>342</v>
      </c>
      <c r="B26" s="101" t="s">
        <v>344</v>
      </c>
      <c r="C26" s="101"/>
      <c r="D26" s="141" t="s">
        <v>354</v>
      </c>
      <c r="E26" s="142"/>
      <c r="F26" s="143"/>
    </row>
    <row r="27" spans="1:255" x14ac:dyDescent="0.2">
      <c r="A27" s="102" t="s">
        <v>343</v>
      </c>
      <c r="B27" s="102" t="s">
        <v>345</v>
      </c>
      <c r="C27" s="102" t="s">
        <v>233</v>
      </c>
      <c r="D27" s="102" t="s">
        <v>347</v>
      </c>
      <c r="E27" s="102" t="s">
        <v>347</v>
      </c>
      <c r="F27" s="100" t="s">
        <v>351</v>
      </c>
    </row>
    <row r="28" spans="1:255" x14ac:dyDescent="0.2">
      <c r="A28" s="99"/>
      <c r="B28" s="102" t="s">
        <v>346</v>
      </c>
      <c r="C28" s="102"/>
      <c r="D28" s="102" t="s">
        <v>348</v>
      </c>
      <c r="E28" s="102" t="s">
        <v>350</v>
      </c>
      <c r="F28" s="100" t="s">
        <v>352</v>
      </c>
    </row>
    <row r="29" spans="1:255" ht="13.5" thickBot="1" x14ac:dyDescent="0.25">
      <c r="A29" s="99"/>
      <c r="B29" s="99"/>
      <c r="C29" s="99"/>
      <c r="D29" s="102" t="s">
        <v>349</v>
      </c>
      <c r="E29" s="102"/>
      <c r="F29" s="100" t="s">
        <v>353</v>
      </c>
    </row>
    <row r="30" spans="1:255" ht="13.5" thickBot="1" x14ac:dyDescent="0.25">
      <c r="A30" s="42">
        <v>1</v>
      </c>
      <c r="B30" s="42">
        <v>2</v>
      </c>
      <c r="C30" s="42">
        <v>3</v>
      </c>
      <c r="D30" s="42">
        <v>4</v>
      </c>
      <c r="E30" s="42">
        <v>5</v>
      </c>
      <c r="F30" s="42">
        <v>6</v>
      </c>
    </row>
    <row r="31" spans="1:255" ht="24" x14ac:dyDescent="0.2">
      <c r="A31" s="103"/>
      <c r="B31" s="104" t="s">
        <v>355</v>
      </c>
      <c r="C31" s="103"/>
      <c r="D31" s="105"/>
      <c r="E31" s="105"/>
      <c r="F31" s="106"/>
    </row>
    <row r="32" spans="1:255" x14ac:dyDescent="0.2">
      <c r="A32" s="111"/>
      <c r="B32" s="112" t="s">
        <v>356</v>
      </c>
      <c r="C32" s="111"/>
      <c r="D32" s="113"/>
      <c r="E32" s="113"/>
      <c r="F32" s="114"/>
    </row>
    <row r="33" spans="1:255" x14ac:dyDescent="0.2">
      <c r="A33" s="111"/>
      <c r="B33" s="112"/>
      <c r="C33" s="111"/>
      <c r="D33" s="115"/>
      <c r="E33" s="115"/>
      <c r="F33" s="116"/>
    </row>
    <row r="34" spans="1:255" x14ac:dyDescent="0.2">
      <c r="A34" s="111"/>
      <c r="B34" s="112"/>
      <c r="C34" s="111"/>
      <c r="D34" s="113"/>
      <c r="E34" s="113"/>
      <c r="F34" s="114"/>
    </row>
    <row r="35" spans="1:255" x14ac:dyDescent="0.2">
      <c r="A35" s="111"/>
      <c r="B35" s="112"/>
      <c r="C35" s="111"/>
      <c r="D35" s="113"/>
      <c r="E35" s="113"/>
      <c r="F35" s="114"/>
    </row>
    <row r="36" spans="1:255" x14ac:dyDescent="0.2">
      <c r="A36" s="111"/>
      <c r="B36" s="112" t="s">
        <v>357</v>
      </c>
      <c r="C36" s="111"/>
      <c r="D36" s="113">
        <f>ROUND(D31,2)</f>
        <v>0</v>
      </c>
      <c r="E36" s="113">
        <f>ROUND(E31,2)</f>
        <v>0</v>
      </c>
      <c r="F36" s="114">
        <f>ROUND(F31,2)</f>
        <v>0</v>
      </c>
    </row>
    <row r="37" spans="1:255" x14ac:dyDescent="0.2">
      <c r="A37" s="111"/>
      <c r="B37" s="112" t="s">
        <v>358</v>
      </c>
      <c r="C37" s="111">
        <v>18</v>
      </c>
      <c r="D37" s="113">
        <f>ROUND(D36*C37/100,2)</f>
        <v>0</v>
      </c>
      <c r="E37" s="113">
        <f>ROUND(E36*C37/100,2)</f>
        <v>0</v>
      </c>
      <c r="F37" s="114">
        <f>ROUND(F36*C37/100,2)</f>
        <v>0</v>
      </c>
    </row>
    <row r="38" spans="1:255" x14ac:dyDescent="0.2">
      <c r="A38" s="107"/>
      <c r="B38" s="108" t="s">
        <v>359</v>
      </c>
      <c r="C38" s="107"/>
      <c r="D38" s="109">
        <f>ROUND(D36+D37,2)</f>
        <v>0</v>
      </c>
      <c r="E38" s="109">
        <f>ROUND(E36+E37,2)</f>
        <v>0</v>
      </c>
      <c r="F38" s="110">
        <f>ROUND(F36+F37,2)</f>
        <v>0</v>
      </c>
    </row>
    <row r="41" spans="1:255" x14ac:dyDescent="0.2">
      <c r="A41" s="82" t="s">
        <v>330</v>
      </c>
      <c r="B41" s="117"/>
      <c r="C41" s="83"/>
      <c r="D41" s="83"/>
      <c r="E41" s="135"/>
      <c r="F41" s="135"/>
      <c r="BY41" s="84">
        <f>B41</f>
        <v>0</v>
      </c>
      <c r="BZ41" s="84">
        <f>E41</f>
        <v>0</v>
      </c>
      <c r="IU41" s="20"/>
    </row>
    <row r="42" spans="1:255" s="86" customFormat="1" ht="11.25" x14ac:dyDescent="0.2">
      <c r="A42" s="85"/>
      <c r="B42" s="136" t="s">
        <v>331</v>
      </c>
      <c r="C42" s="136"/>
      <c r="D42" s="136"/>
      <c r="E42" s="136" t="s">
        <v>332</v>
      </c>
      <c r="F42" s="136"/>
    </row>
    <row r="43" spans="1:255" x14ac:dyDescent="0.2">
      <c r="A43" s="17"/>
      <c r="B43" s="17"/>
      <c r="C43" s="11" t="s">
        <v>333</v>
      </c>
      <c r="D43" s="17"/>
      <c r="E43" s="17"/>
      <c r="F43" s="17"/>
    </row>
    <row r="44" spans="1:255" x14ac:dyDescent="0.2">
      <c r="A44" s="82" t="s">
        <v>334</v>
      </c>
      <c r="B44" s="117"/>
      <c r="C44" s="83"/>
      <c r="D44" s="83"/>
      <c r="E44" s="135"/>
      <c r="F44" s="135"/>
      <c r="BY44" s="84">
        <f>B44</f>
        <v>0</v>
      </c>
      <c r="BZ44" s="84">
        <f>E44</f>
        <v>0</v>
      </c>
      <c r="IU44" s="20"/>
    </row>
    <row r="45" spans="1:255" s="86" customFormat="1" ht="11.25" x14ac:dyDescent="0.2">
      <c r="A45" s="85"/>
      <c r="B45" s="136" t="s">
        <v>331</v>
      </c>
      <c r="C45" s="136"/>
      <c r="D45" s="136"/>
      <c r="E45" s="136" t="s">
        <v>332</v>
      </c>
      <c r="F45" s="136"/>
    </row>
    <row r="46" spans="1:255" x14ac:dyDescent="0.2">
      <c r="A46" s="17"/>
      <c r="B46" s="17"/>
      <c r="C46" s="11" t="s">
        <v>333</v>
      </c>
      <c r="D46" s="17"/>
      <c r="E46" s="17"/>
      <c r="F46" s="17"/>
    </row>
    <row r="48" spans="1:255" x14ac:dyDescent="0.2">
      <c r="A48" s="27"/>
      <c r="B48" s="27"/>
    </row>
  </sheetData>
  <mergeCells count="36">
    <mergeCell ref="B7:C7"/>
    <mergeCell ref="E7:F7"/>
    <mergeCell ref="C2:F2"/>
    <mergeCell ref="C3:F3"/>
    <mergeCell ref="C4:F4"/>
    <mergeCell ref="E5:F5"/>
    <mergeCell ref="E6:F6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D13"/>
    <mergeCell ref="E13:F13"/>
    <mergeCell ref="B14:C14"/>
    <mergeCell ref="E14:F14"/>
    <mergeCell ref="E15:F15"/>
    <mergeCell ref="E16:F16"/>
    <mergeCell ref="C18:C19"/>
    <mergeCell ref="D18:D19"/>
    <mergeCell ref="E18:F18"/>
    <mergeCell ref="E44:F44"/>
    <mergeCell ref="B45:D45"/>
    <mergeCell ref="E45:F45"/>
    <mergeCell ref="A22:F22"/>
    <mergeCell ref="A23:F23"/>
    <mergeCell ref="A24:F24"/>
    <mergeCell ref="D26:F26"/>
    <mergeCell ref="E41:F41"/>
    <mergeCell ref="B42:D42"/>
    <mergeCell ref="E42:F42"/>
  </mergeCells>
  <printOptions horizontalCentered="1"/>
  <pageMargins left="1.1811023622047201" right="0.39370078740157499" top="0.39370078740157499" bottom="0.39370078740157499" header="0" footer="0"/>
  <pageSetup paperSize="9" orientation="portrait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38"/>
  <sheetViews>
    <sheetView tabSelected="1" topLeftCell="A105" zoomScale="102" zoomScaleNormal="102" workbookViewId="0">
      <selection activeCell="A134" sqref="A134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4" customFormat="1" ht="11.25" x14ac:dyDescent="0.2">
      <c r="A1" s="14" t="s">
        <v>229</v>
      </c>
    </row>
    <row r="2" spans="1:255" hidden="1" outlineLevel="1" x14ac:dyDescent="0.2">
      <c r="A2" s="118"/>
      <c r="B2" s="118"/>
      <c r="C2" s="118"/>
      <c r="D2" s="118"/>
      <c r="E2" s="118"/>
      <c r="F2" s="118"/>
      <c r="G2" s="118"/>
      <c r="H2" s="166" t="s">
        <v>230</v>
      </c>
      <c r="I2" s="166"/>
      <c r="J2" s="166"/>
      <c r="K2" s="166"/>
    </row>
    <row r="3" spans="1:255" hidden="1" outlineLevel="1" x14ac:dyDescent="0.2">
      <c r="A3" s="118"/>
      <c r="B3" s="118"/>
      <c r="C3" s="118"/>
      <c r="D3" s="118"/>
      <c r="E3" s="118"/>
      <c r="F3" s="118"/>
      <c r="G3" s="118"/>
      <c r="H3" s="166" t="s">
        <v>231</v>
      </c>
      <c r="I3" s="166"/>
      <c r="J3" s="166"/>
      <c r="K3" s="166"/>
    </row>
    <row r="4" spans="1:255" hidden="1" outlineLevel="1" x14ac:dyDescent="0.2">
      <c r="A4" s="118"/>
      <c r="B4" s="118"/>
      <c r="C4" s="118"/>
      <c r="D4" s="118"/>
      <c r="E4" s="118"/>
      <c r="F4" s="118"/>
      <c r="G4" s="118"/>
      <c r="H4" s="166" t="s">
        <v>232</v>
      </c>
      <c r="I4" s="166"/>
      <c r="J4" s="166"/>
      <c r="K4" s="166"/>
    </row>
    <row r="5" spans="1:255" s="13" customFormat="1" ht="11.25" hidden="1" outlineLevel="1" x14ac:dyDescent="0.2">
      <c r="J5" s="168" t="s">
        <v>233</v>
      </c>
      <c r="K5" s="161"/>
    </row>
    <row r="6" spans="1:255" s="15" customFormat="1" ht="9.75" hidden="1" outlineLevel="1" x14ac:dyDescent="0.2">
      <c r="I6" s="16" t="s">
        <v>234</v>
      </c>
      <c r="J6" s="206" t="s">
        <v>235</v>
      </c>
      <c r="K6" s="207"/>
    </row>
    <row r="7" spans="1:255" hidden="1" outlineLevel="1" x14ac:dyDescent="0.2">
      <c r="A7" s="18" t="s">
        <v>236</v>
      </c>
      <c r="B7" s="119"/>
      <c r="C7" s="208"/>
      <c r="D7" s="208"/>
      <c r="E7" s="208"/>
      <c r="F7" s="208"/>
      <c r="G7" s="208"/>
      <c r="H7" s="118"/>
      <c r="I7" s="16" t="s">
        <v>237</v>
      </c>
      <c r="J7" s="156"/>
      <c r="K7" s="205"/>
      <c r="BR7" s="19">
        <f>C7</f>
        <v>0</v>
      </c>
      <c r="IU7" s="20"/>
    </row>
    <row r="8" spans="1:255" hidden="1" outlineLevel="1" x14ac:dyDescent="0.2">
      <c r="A8" s="18" t="s">
        <v>238</v>
      </c>
      <c r="B8" s="119"/>
      <c r="C8" s="202"/>
      <c r="D8" s="202"/>
      <c r="E8" s="202"/>
      <c r="F8" s="202"/>
      <c r="G8" s="202"/>
      <c r="H8" s="118"/>
      <c r="I8" s="16" t="s">
        <v>237</v>
      </c>
      <c r="J8" s="156"/>
      <c r="K8" s="205"/>
      <c r="BR8" s="19">
        <f>C8</f>
        <v>0</v>
      </c>
      <c r="IU8" s="20"/>
    </row>
    <row r="9" spans="1:255" hidden="1" outlineLevel="1" x14ac:dyDescent="0.2">
      <c r="A9" s="18" t="s">
        <v>239</v>
      </c>
      <c r="B9" s="119"/>
      <c r="C9" s="202"/>
      <c r="D9" s="202"/>
      <c r="E9" s="202"/>
      <c r="F9" s="202"/>
      <c r="G9" s="202"/>
      <c r="H9" s="118"/>
      <c r="I9" s="16" t="s">
        <v>237</v>
      </c>
      <c r="J9" s="156"/>
      <c r="K9" s="205"/>
      <c r="BR9" s="19">
        <f>C9</f>
        <v>0</v>
      </c>
      <c r="IU9" s="20"/>
    </row>
    <row r="10" spans="1:255" hidden="1" outlineLevel="1" x14ac:dyDescent="0.2">
      <c r="A10" s="18" t="s">
        <v>240</v>
      </c>
      <c r="B10" s="119"/>
      <c r="C10" s="202"/>
      <c r="D10" s="202"/>
      <c r="E10" s="202"/>
      <c r="F10" s="202"/>
      <c r="G10" s="202"/>
      <c r="H10" s="118"/>
      <c r="I10" s="16" t="s">
        <v>237</v>
      </c>
      <c r="J10" s="156"/>
      <c r="K10" s="205"/>
      <c r="BR10" s="19">
        <f>C10</f>
        <v>0</v>
      </c>
      <c r="IU10" s="20"/>
    </row>
    <row r="11" spans="1:255" hidden="1" outlineLevel="1" x14ac:dyDescent="0.2">
      <c r="A11" s="18" t="s">
        <v>241</v>
      </c>
      <c r="B11" s="118"/>
      <c r="C11" s="209"/>
      <c r="D11" s="202"/>
      <c r="E11" s="202"/>
      <c r="F11" s="202"/>
      <c r="G11" s="202"/>
      <c r="H11" s="13"/>
      <c r="I11" s="13"/>
      <c r="J11" s="156"/>
      <c r="K11" s="161"/>
      <c r="BS11" s="22">
        <f>C11</f>
        <v>0</v>
      </c>
      <c r="IU11" s="20"/>
    </row>
    <row r="12" spans="1:255" hidden="1" outlineLevel="1" x14ac:dyDescent="0.2">
      <c r="A12" s="18" t="s">
        <v>242</v>
      </c>
      <c r="B12" s="118"/>
      <c r="C12" s="201" t="s">
        <v>243</v>
      </c>
      <c r="D12" s="202"/>
      <c r="E12" s="202"/>
      <c r="F12" s="202"/>
      <c r="G12" s="202"/>
      <c r="H12" s="13"/>
      <c r="I12" s="13"/>
      <c r="J12" s="156"/>
      <c r="K12" s="161"/>
      <c r="BS12" s="22" t="str">
        <f>C12</f>
        <v>Новые цены'Техническое перевооружение ТП,РП. Замена МВ на ВВ</v>
      </c>
      <c r="IU12" s="20"/>
    </row>
    <row r="13" spans="1:255" hidden="1" outlineLevel="1" x14ac:dyDescent="0.2">
      <c r="A13" s="18" t="s">
        <v>244</v>
      </c>
      <c r="B13" s="118"/>
      <c r="C13" s="203"/>
      <c r="D13" s="204"/>
      <c r="E13" s="204"/>
      <c r="F13" s="204"/>
      <c r="G13" s="204"/>
      <c r="H13" s="118"/>
      <c r="I13" s="16" t="s">
        <v>245</v>
      </c>
      <c r="J13" s="156"/>
      <c r="K13" s="161"/>
      <c r="BS13" s="22">
        <f>C13</f>
        <v>0</v>
      </c>
      <c r="IU13" s="20"/>
    </row>
    <row r="14" spans="1:255" hidden="1" outlineLevel="1" x14ac:dyDescent="0.2">
      <c r="A14" s="118"/>
      <c r="B14" s="118"/>
      <c r="C14" s="118"/>
      <c r="D14" s="118"/>
      <c r="E14" s="118"/>
      <c r="F14" s="118"/>
      <c r="G14" s="194" t="s">
        <v>246</v>
      </c>
      <c r="H14" s="194"/>
      <c r="I14" s="23" t="s">
        <v>247</v>
      </c>
      <c r="J14" s="195"/>
      <c r="K14" s="196"/>
      <c r="BW14" s="26">
        <f>J14</f>
        <v>0</v>
      </c>
      <c r="IU14" s="20"/>
    </row>
    <row r="15" spans="1:255" hidden="1" outlineLevel="1" x14ac:dyDescent="0.2">
      <c r="A15" s="118"/>
      <c r="B15" s="118"/>
      <c r="C15" s="118"/>
      <c r="D15" s="118"/>
      <c r="E15" s="118"/>
      <c r="F15" s="118"/>
      <c r="G15" s="118"/>
      <c r="H15" s="118"/>
      <c r="I15" s="24" t="s">
        <v>248</v>
      </c>
      <c r="J15" s="197"/>
      <c r="K15" s="198"/>
    </row>
    <row r="16" spans="1:255" s="15" customFormat="1" hidden="1" outlineLevel="1" x14ac:dyDescent="0.2">
      <c r="I16" s="16" t="s">
        <v>249</v>
      </c>
      <c r="J16" s="199"/>
      <c r="K16" s="200"/>
    </row>
    <row r="17" spans="1:255" hidden="1" outlineLevel="1" x14ac:dyDescent="0.2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255" hidden="1" outlineLevel="1" x14ac:dyDescent="0.2">
      <c r="A18" s="118"/>
      <c r="B18" s="118"/>
      <c r="C18" s="118"/>
      <c r="D18" s="118"/>
      <c r="E18" s="118"/>
      <c r="F18" s="118"/>
      <c r="G18" s="151" t="s">
        <v>250</v>
      </c>
      <c r="H18" s="151" t="s">
        <v>251</v>
      </c>
      <c r="I18" s="151" t="s">
        <v>252</v>
      </c>
      <c r="J18" s="153"/>
      <c r="K18" s="118"/>
    </row>
    <row r="19" spans="1:255" ht="13.5" hidden="1" outlineLevel="1" thickBot="1" x14ac:dyDescent="0.25">
      <c r="A19" s="118"/>
      <c r="B19" s="118"/>
      <c r="C19" s="118"/>
      <c r="D19" s="118"/>
      <c r="E19" s="118"/>
      <c r="F19" s="118"/>
      <c r="G19" s="152"/>
      <c r="H19" s="152"/>
      <c r="I19" s="28" t="s">
        <v>253</v>
      </c>
      <c r="J19" s="29" t="s">
        <v>254</v>
      </c>
      <c r="K19" s="118"/>
    </row>
    <row r="20" spans="1:255" ht="14.25" hidden="1" outlineLevel="1" thickBot="1" x14ac:dyDescent="0.3">
      <c r="A20" s="118"/>
      <c r="B20" s="118"/>
      <c r="C20" s="139" t="s">
        <v>255</v>
      </c>
      <c r="D20" s="188"/>
      <c r="E20" s="188"/>
      <c r="F20" s="189"/>
      <c r="G20" s="30"/>
      <c r="H20" s="31"/>
      <c r="I20" s="32"/>
      <c r="J20" s="33"/>
      <c r="K20" s="34"/>
    </row>
    <row r="21" spans="1:255" ht="13.5" hidden="1" outlineLevel="1" x14ac:dyDescent="0.25">
      <c r="A21" s="118"/>
      <c r="B21" s="118"/>
      <c r="C21" s="139" t="s">
        <v>256</v>
      </c>
      <c r="D21" s="188"/>
      <c r="E21" s="188"/>
      <c r="F21" s="188"/>
      <c r="G21" s="118"/>
      <c r="H21" s="118"/>
      <c r="I21" s="118"/>
      <c r="J21" s="118"/>
      <c r="K21" s="118"/>
    </row>
    <row r="22" spans="1:255" hidden="1" outlineLevel="1" x14ac:dyDescent="0.2">
      <c r="A22" s="140"/>
      <c r="B22" s="188"/>
      <c r="C22" s="188"/>
      <c r="D22" s="188"/>
      <c r="E22" s="188"/>
      <c r="F22" s="188"/>
      <c r="G22" s="188"/>
      <c r="H22" s="188"/>
      <c r="I22" s="188"/>
      <c r="J22" s="188"/>
      <c r="K22" s="188"/>
    </row>
    <row r="23" spans="1:255" hidden="1" outlineLevel="1" x14ac:dyDescent="0.2">
      <c r="A23" s="190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35">
        <f>A23</f>
        <v>0</v>
      </c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</row>
    <row r="24" spans="1:255" hidden="1" outlineLevel="1" x14ac:dyDescent="0.2">
      <c r="A24" s="15" t="s">
        <v>257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</row>
    <row r="25" spans="1:255" hidden="1" outlineLevel="1" x14ac:dyDescent="0.2">
      <c r="A25" s="15" t="s">
        <v>258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</row>
    <row r="26" spans="1:255" hidden="1" outlineLevel="1" x14ac:dyDescent="0.2">
      <c r="A26" s="15" t="s">
        <v>259</v>
      </c>
      <c r="B26" s="15"/>
      <c r="C26" s="15"/>
      <c r="D26" s="15"/>
      <c r="E26" s="192">
        <f>J116/1000</f>
        <v>217.83539999999999</v>
      </c>
      <c r="F26" s="193"/>
      <c r="G26" s="15" t="s">
        <v>260</v>
      </c>
      <c r="H26" s="15"/>
      <c r="I26" s="15"/>
      <c r="J26" s="15"/>
      <c r="K26" s="15"/>
    </row>
    <row r="27" spans="1:255" collapsed="1" x14ac:dyDescent="0.2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</row>
    <row r="28" spans="1:255" outlineLevel="1" x14ac:dyDescent="0.2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36" t="s">
        <v>261</v>
      </c>
    </row>
    <row r="29" spans="1:255" outlineLevel="1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255" outlineLevel="1" x14ac:dyDescent="0.2">
      <c r="A30" s="18" t="s">
        <v>241</v>
      </c>
      <c r="B30" s="118"/>
      <c r="C30" s="183"/>
      <c r="D30" s="183"/>
      <c r="E30" s="183"/>
      <c r="F30" s="183"/>
      <c r="G30" s="183"/>
      <c r="H30" s="183"/>
      <c r="I30" s="183"/>
      <c r="J30" s="183"/>
      <c r="K30" s="183"/>
      <c r="BT30" s="37">
        <f>C30</f>
        <v>0</v>
      </c>
      <c r="IU30" s="20"/>
    </row>
    <row r="31" spans="1:255" outlineLevel="1" x14ac:dyDescent="0.2">
      <c r="A31" s="18" t="s">
        <v>242</v>
      </c>
      <c r="B31" s="118"/>
      <c r="C31" s="182" t="s">
        <v>360</v>
      </c>
      <c r="D31" s="183"/>
      <c r="E31" s="183"/>
      <c r="F31" s="183"/>
      <c r="G31" s="183"/>
      <c r="H31" s="183"/>
      <c r="I31" s="183"/>
      <c r="J31" s="183"/>
      <c r="K31" s="183"/>
      <c r="BT31" s="37" t="str">
        <f>C31</f>
        <v>Техническое перевооружение ТП,РП. Замена МВ на ВВ</v>
      </c>
      <c r="IU31" s="20"/>
    </row>
    <row r="32" spans="1:255" outlineLevel="1" x14ac:dyDescent="0.2">
      <c r="A32" s="18" t="s">
        <v>262</v>
      </c>
      <c r="B32" s="118"/>
      <c r="C32" s="184" t="s">
        <v>263</v>
      </c>
      <c r="D32" s="183"/>
      <c r="E32" s="183"/>
      <c r="F32" s="183"/>
      <c r="G32" s="183"/>
      <c r="H32" s="183"/>
      <c r="I32" s="183"/>
      <c r="J32" s="183"/>
      <c r="K32" s="183"/>
      <c r="BT32" s="38" t="str">
        <f>C32</f>
        <v xml:space="preserve"> </v>
      </c>
      <c r="IU32" s="20"/>
    </row>
    <row r="33" spans="1:255" outlineLevel="1" x14ac:dyDescent="0.2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</row>
    <row r="34" spans="1:255" ht="18.75" outlineLevel="1" x14ac:dyDescent="0.3">
      <c r="A34" s="137" t="s">
        <v>264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</row>
    <row r="35" spans="1:255" outlineLevel="1" x14ac:dyDescent="0.2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Y35" s="20">
        <v>3</v>
      </c>
      <c r="Z35" s="20" t="s">
        <v>265</v>
      </c>
      <c r="AA35" s="20"/>
      <c r="AB35" s="20" t="s">
        <v>266</v>
      </c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35">
        <f>A35</f>
        <v>0</v>
      </c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</row>
    <row r="36" spans="1:255" outlineLevel="1" x14ac:dyDescent="0.2">
      <c r="A36" s="18" t="s">
        <v>267</v>
      </c>
      <c r="B36" s="118"/>
      <c r="C36" s="183"/>
      <c r="D36" s="183"/>
      <c r="E36" s="183"/>
      <c r="F36" s="183"/>
      <c r="G36" s="183"/>
      <c r="H36" s="183"/>
      <c r="I36" s="183"/>
      <c r="J36" s="183"/>
      <c r="K36" s="183"/>
      <c r="BT36" s="37">
        <f>C36</f>
        <v>0</v>
      </c>
      <c r="IU36" s="20"/>
    </row>
    <row r="37" spans="1:255" outlineLevel="1" x14ac:dyDescent="0.2">
      <c r="A37" s="118"/>
      <c r="B37" s="118"/>
      <c r="C37" s="118"/>
      <c r="D37" s="118"/>
      <c r="E37" s="118"/>
      <c r="F37" s="118"/>
      <c r="G37" s="118"/>
      <c r="H37" s="118"/>
      <c r="I37" s="39" t="s">
        <v>314</v>
      </c>
      <c r="J37" s="39" t="s">
        <v>269</v>
      </c>
      <c r="K37" s="118"/>
    </row>
    <row r="38" spans="1:255" outlineLevel="1" x14ac:dyDescent="0.2">
      <c r="A38" s="15" t="s">
        <v>268</v>
      </c>
      <c r="B38" s="118"/>
      <c r="C38" s="118"/>
      <c r="D38" s="118"/>
      <c r="E38" s="118"/>
      <c r="F38" s="118"/>
      <c r="G38" s="40" t="s">
        <v>270</v>
      </c>
      <c r="H38" s="118"/>
      <c r="I38" s="41">
        <f>H116/1000</f>
        <v>27.875660000000003</v>
      </c>
      <c r="J38" s="41">
        <f>J116/1000</f>
        <v>217.83539999999999</v>
      </c>
      <c r="K38" s="15" t="s">
        <v>271</v>
      </c>
    </row>
    <row r="39" spans="1:255" outlineLevel="1" x14ac:dyDescent="0.2">
      <c r="A39" s="15" t="s">
        <v>258</v>
      </c>
      <c r="B39" s="118"/>
      <c r="C39" s="118"/>
      <c r="D39" s="118"/>
      <c r="E39" s="118"/>
      <c r="F39" s="118"/>
      <c r="G39" s="40" t="s">
        <v>272</v>
      </c>
      <c r="H39" s="118"/>
      <c r="I39" s="41">
        <f>ET99</f>
        <v>35.17</v>
      </c>
      <c r="J39" s="41">
        <f>CW99</f>
        <v>35.17</v>
      </c>
      <c r="K39" s="15" t="s">
        <v>273</v>
      </c>
    </row>
    <row r="40" spans="1:255" ht="13.5" outlineLevel="1" thickBot="1" x14ac:dyDescent="0.25">
      <c r="A40" s="118"/>
      <c r="B40" s="118"/>
      <c r="C40" s="118"/>
      <c r="D40" s="118"/>
      <c r="E40" s="118"/>
      <c r="F40" s="118"/>
      <c r="G40" s="40" t="s">
        <v>274</v>
      </c>
      <c r="H40" s="118"/>
      <c r="I40" s="41">
        <f>(EW99+EY99)/1000</f>
        <v>0.40472000000000002</v>
      </c>
      <c r="J40" s="41">
        <f>(CZ99+DB99)/1000</f>
        <v>7.4063800000000004</v>
      </c>
      <c r="K40" s="15" t="s">
        <v>271</v>
      </c>
    </row>
    <row r="41" spans="1:255" x14ac:dyDescent="0.2">
      <c r="A41" s="186" t="s">
        <v>275</v>
      </c>
      <c r="B41" s="178" t="s">
        <v>276</v>
      </c>
      <c r="C41" s="178" t="s">
        <v>277</v>
      </c>
      <c r="D41" s="178" t="s">
        <v>278</v>
      </c>
      <c r="E41" s="178" t="s">
        <v>279</v>
      </c>
      <c r="F41" s="178" t="s">
        <v>280</v>
      </c>
      <c r="G41" s="178" t="s">
        <v>281</v>
      </c>
      <c r="H41" s="178" t="s">
        <v>282</v>
      </c>
      <c r="I41" s="178" t="s">
        <v>283</v>
      </c>
      <c r="J41" s="178" t="s">
        <v>284</v>
      </c>
      <c r="K41" s="180" t="s">
        <v>285</v>
      </c>
    </row>
    <row r="42" spans="1:255" x14ac:dyDescent="0.2">
      <c r="A42" s="187"/>
      <c r="B42" s="179"/>
      <c r="C42" s="179"/>
      <c r="D42" s="179"/>
      <c r="E42" s="179"/>
      <c r="F42" s="179"/>
      <c r="G42" s="179"/>
      <c r="H42" s="179"/>
      <c r="I42" s="179"/>
      <c r="J42" s="179"/>
      <c r="K42" s="181"/>
    </row>
    <row r="43" spans="1:255" x14ac:dyDescent="0.2">
      <c r="A43" s="187"/>
      <c r="B43" s="179"/>
      <c r="C43" s="179"/>
      <c r="D43" s="179"/>
      <c r="E43" s="179"/>
      <c r="F43" s="179"/>
      <c r="G43" s="179"/>
      <c r="H43" s="179"/>
      <c r="I43" s="179"/>
      <c r="J43" s="179"/>
      <c r="K43" s="181"/>
    </row>
    <row r="44" spans="1:255" ht="13.5" thickBot="1" x14ac:dyDescent="0.25">
      <c r="A44" s="187"/>
      <c r="B44" s="179"/>
      <c r="C44" s="179"/>
      <c r="D44" s="179"/>
      <c r="E44" s="179"/>
      <c r="F44" s="179"/>
      <c r="G44" s="179"/>
      <c r="H44" s="179"/>
      <c r="I44" s="179"/>
      <c r="J44" s="179"/>
      <c r="K44" s="181"/>
    </row>
    <row r="45" spans="1:255" ht="13.5" thickBot="1" x14ac:dyDescent="0.25">
      <c r="A45" s="42">
        <v>1</v>
      </c>
      <c r="B45" s="42">
        <v>2</v>
      </c>
      <c r="C45" s="42">
        <v>3</v>
      </c>
      <c r="D45" s="42">
        <v>4</v>
      </c>
      <c r="E45" s="42">
        <v>5</v>
      </c>
      <c r="F45" s="42">
        <v>6</v>
      </c>
      <c r="G45" s="42">
        <v>7</v>
      </c>
      <c r="H45" s="42">
        <v>8</v>
      </c>
      <c r="I45" s="42">
        <v>9</v>
      </c>
      <c r="J45" s="42">
        <v>10</v>
      </c>
      <c r="K45" s="42">
        <v>11</v>
      </c>
    </row>
    <row r="46" spans="1:255" ht="24" x14ac:dyDescent="0.2">
      <c r="A46" s="43">
        <v>1</v>
      </c>
      <c r="B46" s="49" t="s">
        <v>13</v>
      </c>
      <c r="C46" s="44" t="s">
        <v>14</v>
      </c>
      <c r="D46" s="45" t="s">
        <v>15</v>
      </c>
      <c r="E46" s="46">
        <v>1</v>
      </c>
      <c r="F46" s="47">
        <f>Source!AK25</f>
        <v>204.77000000000004</v>
      </c>
      <c r="G46" s="120" t="s">
        <v>23</v>
      </c>
      <c r="H46" s="47">
        <f>Source!AB25</f>
        <v>105.62</v>
      </c>
      <c r="I46" s="47"/>
      <c r="J46" s="121"/>
      <c r="K46" s="48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</row>
    <row r="47" spans="1:255" x14ac:dyDescent="0.2">
      <c r="A47" s="53"/>
      <c r="B47" s="50"/>
      <c r="C47" s="50" t="s">
        <v>286</v>
      </c>
      <c r="D47" s="51"/>
      <c r="E47" s="52"/>
      <c r="F47" s="54">
        <v>76.48</v>
      </c>
      <c r="G47" s="122" t="s">
        <v>287</v>
      </c>
      <c r="H47" s="54">
        <f>Source!AF25</f>
        <v>45.89</v>
      </c>
      <c r="I47" s="54">
        <f>T47</f>
        <v>45.89</v>
      </c>
      <c r="J47" s="122">
        <v>18.3</v>
      </c>
      <c r="K47" s="55">
        <f>U47</f>
        <v>839.79</v>
      </c>
      <c r="O47" s="20"/>
      <c r="P47" s="20"/>
      <c r="Q47" s="20"/>
      <c r="R47" s="20"/>
      <c r="S47" s="20"/>
      <c r="T47" s="20">
        <f>ROUND(Source!AF25*Source!AV25*Source!I25,2)</f>
        <v>45.89</v>
      </c>
      <c r="U47" s="20">
        <f>Source!S25</f>
        <v>839.79</v>
      </c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>
        <f>T47</f>
        <v>45.89</v>
      </c>
      <c r="GK47" s="20">
        <f>T47</f>
        <v>45.89</v>
      </c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>
        <f>T47</f>
        <v>45.89</v>
      </c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</row>
    <row r="48" spans="1:255" x14ac:dyDescent="0.2">
      <c r="A48" s="60"/>
      <c r="B48" s="57"/>
      <c r="C48" s="57" t="s">
        <v>288</v>
      </c>
      <c r="D48" s="58"/>
      <c r="E48" s="59"/>
      <c r="F48" s="61">
        <v>99.54</v>
      </c>
      <c r="G48" s="123" t="s">
        <v>287</v>
      </c>
      <c r="H48" s="61">
        <f>Source!AD25</f>
        <v>59.73</v>
      </c>
      <c r="I48" s="61">
        <f>T48</f>
        <v>59.73</v>
      </c>
      <c r="J48" s="123">
        <v>12.5</v>
      </c>
      <c r="K48" s="62">
        <f>U48</f>
        <v>746.63</v>
      </c>
      <c r="O48" s="20"/>
      <c r="P48" s="20"/>
      <c r="Q48" s="20"/>
      <c r="R48" s="20"/>
      <c r="S48" s="20"/>
      <c r="T48" s="20">
        <f>ROUND(Source!AD25*Source!AV25*Source!I25,2)</f>
        <v>59.73</v>
      </c>
      <c r="U48" s="20">
        <f>Source!Q25</f>
        <v>746.63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>
        <f>T48</f>
        <v>59.73</v>
      </c>
      <c r="GK48" s="20"/>
      <c r="GL48" s="20">
        <f>T48</f>
        <v>59.73</v>
      </c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>
        <f>T48</f>
        <v>59.73</v>
      </c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</row>
    <row r="49" spans="1:255" x14ac:dyDescent="0.2">
      <c r="A49" s="60"/>
      <c r="B49" s="57"/>
      <c r="C49" s="57" t="s">
        <v>289</v>
      </c>
      <c r="D49" s="58"/>
      <c r="E49" s="59"/>
      <c r="F49" s="61">
        <v>12.46</v>
      </c>
      <c r="G49" s="123" t="s">
        <v>287</v>
      </c>
      <c r="H49" s="61">
        <f>Source!AE25</f>
        <v>7.48</v>
      </c>
      <c r="I49" s="61">
        <f>GM49</f>
        <v>7.48</v>
      </c>
      <c r="J49" s="123">
        <v>18.3</v>
      </c>
      <c r="K49" s="62">
        <f>Source!R25</f>
        <v>136.88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>
        <f>ROUND(Source!AE25*Source!AV25*Source!I25,2)</f>
        <v>7.48</v>
      </c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</row>
    <row r="50" spans="1:255" x14ac:dyDescent="0.2">
      <c r="A50" s="60"/>
      <c r="B50" s="57"/>
      <c r="C50" s="57" t="s">
        <v>290</v>
      </c>
      <c r="D50" s="58"/>
      <c r="E50" s="59">
        <v>95</v>
      </c>
      <c r="F50" s="124" t="s">
        <v>291</v>
      </c>
      <c r="G50" s="123"/>
      <c r="H50" s="61">
        <f>ROUND((Source!AF25*Source!AV25+Source!AE25*Source!AV25)*(Source!FX25)/100,2)</f>
        <v>50.7</v>
      </c>
      <c r="I50" s="61">
        <f>T50</f>
        <v>50.7</v>
      </c>
      <c r="J50" s="123" t="s">
        <v>292</v>
      </c>
      <c r="K50" s="62">
        <f>U50</f>
        <v>791.1</v>
      </c>
      <c r="O50" s="20"/>
      <c r="P50" s="20"/>
      <c r="Q50" s="20"/>
      <c r="R50" s="20"/>
      <c r="S50" s="20"/>
      <c r="T50" s="20">
        <f>ROUND((ROUND(Source!AF25*Source!AV25*Source!I25,2)+ROUND(Source!AE25*Source!AV25*Source!I25,2))*(Source!FX25)/100,2)</f>
        <v>50.7</v>
      </c>
      <c r="U50" s="20">
        <f>Source!X25</f>
        <v>791.1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>
        <f>T50</f>
        <v>50.7</v>
      </c>
      <c r="GZ50" s="20"/>
      <c r="HA50" s="20"/>
      <c r="HB50" s="20"/>
      <c r="HC50" s="20">
        <f>T50</f>
        <v>50.7</v>
      </c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</row>
    <row r="51" spans="1:255" x14ac:dyDescent="0.2">
      <c r="A51" s="60"/>
      <c r="B51" s="57"/>
      <c r="C51" s="57" t="s">
        <v>293</v>
      </c>
      <c r="D51" s="58"/>
      <c r="E51" s="59">
        <v>65</v>
      </c>
      <c r="F51" s="124" t="s">
        <v>291</v>
      </c>
      <c r="G51" s="123"/>
      <c r="H51" s="61">
        <f>ROUND((Source!AF25*Source!AV25+Source!AE25*Source!AV25)*(Source!FY25)/100,2)</f>
        <v>34.69</v>
      </c>
      <c r="I51" s="61">
        <f>T51</f>
        <v>34.69</v>
      </c>
      <c r="J51" s="123" t="s">
        <v>294</v>
      </c>
      <c r="K51" s="62">
        <f>U51</f>
        <v>507.87</v>
      </c>
      <c r="O51" s="20"/>
      <c r="P51" s="20"/>
      <c r="Q51" s="20"/>
      <c r="R51" s="20"/>
      <c r="S51" s="20"/>
      <c r="T51" s="20">
        <f>ROUND((ROUND(Source!AF25*Source!AV25*Source!I25,2)+ROUND(Source!AE25*Source!AV25*Source!I25,2))*(Source!FY25)/100,2)</f>
        <v>34.69</v>
      </c>
      <c r="U51" s="20">
        <f>Source!Y25</f>
        <v>507.87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>
        <f>T51</f>
        <v>34.69</v>
      </c>
      <c r="HA51" s="20"/>
      <c r="HB51" s="20"/>
      <c r="HC51" s="20">
        <f>T51</f>
        <v>34.69</v>
      </c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</row>
    <row r="52" spans="1:255" ht="13.5" thickBot="1" x14ac:dyDescent="0.25">
      <c r="A52" s="65"/>
      <c r="B52" s="66"/>
      <c r="C52" s="66" t="s">
        <v>295</v>
      </c>
      <c r="D52" s="67" t="s">
        <v>296</v>
      </c>
      <c r="E52" s="68">
        <v>7.95</v>
      </c>
      <c r="F52" s="69"/>
      <c r="G52" s="69" t="s">
        <v>287</v>
      </c>
      <c r="H52" s="69">
        <f>ROUND(Source!AH25,2)</f>
        <v>4.7699999999999996</v>
      </c>
      <c r="I52" s="70">
        <f>Source!U25</f>
        <v>4.7699999999999996</v>
      </c>
      <c r="J52" s="69"/>
      <c r="K52" s="71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</row>
    <row r="53" spans="1:255" x14ac:dyDescent="0.2">
      <c r="A53" s="64"/>
      <c r="B53" s="63"/>
      <c r="C53" s="63"/>
      <c r="D53" s="63"/>
      <c r="E53" s="63"/>
      <c r="F53" s="63"/>
      <c r="G53" s="63"/>
      <c r="H53" s="174">
        <f>R53</f>
        <v>191.01</v>
      </c>
      <c r="I53" s="175"/>
      <c r="J53" s="174">
        <f>S53</f>
        <v>2885.39</v>
      </c>
      <c r="K53" s="176"/>
      <c r="O53" s="20"/>
      <c r="P53" s="20"/>
      <c r="Q53" s="20"/>
      <c r="R53" s="20">
        <f>SUM(T46:T52)</f>
        <v>191.01</v>
      </c>
      <c r="S53" s="20">
        <f>SUM(U46:U52)</f>
        <v>2885.39</v>
      </c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>
        <f>R53</f>
        <v>191.01</v>
      </c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</row>
    <row r="54" spans="1:255" x14ac:dyDescent="0.2">
      <c r="A54" s="72">
        <v>2</v>
      </c>
      <c r="B54" s="78" t="s">
        <v>27</v>
      </c>
      <c r="C54" s="73" t="s">
        <v>28</v>
      </c>
      <c r="D54" s="74" t="s">
        <v>15</v>
      </c>
      <c r="E54" s="75">
        <v>1</v>
      </c>
      <c r="F54" s="76">
        <f>Source!AK27</f>
        <v>227.05</v>
      </c>
      <c r="G54" s="125" t="s">
        <v>3</v>
      </c>
      <c r="H54" s="76">
        <f>Source!AB27</f>
        <v>227.05</v>
      </c>
      <c r="I54" s="76"/>
      <c r="J54" s="126"/>
      <c r="K54" s="77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</row>
    <row r="55" spans="1:255" x14ac:dyDescent="0.2">
      <c r="A55" s="53"/>
      <c r="B55" s="50"/>
      <c r="C55" s="50" t="s">
        <v>286</v>
      </c>
      <c r="D55" s="51"/>
      <c r="E55" s="52"/>
      <c r="F55" s="54">
        <v>227.05</v>
      </c>
      <c r="G55" s="122"/>
      <c r="H55" s="54">
        <f>Source!AF27</f>
        <v>227.05</v>
      </c>
      <c r="I55" s="54">
        <f>T55</f>
        <v>227.05</v>
      </c>
      <c r="J55" s="122">
        <v>18.3</v>
      </c>
      <c r="K55" s="55">
        <f>U55</f>
        <v>4155.0200000000004</v>
      </c>
      <c r="O55" s="20"/>
      <c r="P55" s="20"/>
      <c r="Q55" s="20"/>
      <c r="R55" s="20"/>
      <c r="S55" s="20"/>
      <c r="T55" s="20">
        <f>ROUND(Source!AF27*Source!AV27*Source!I27,2)</f>
        <v>227.05</v>
      </c>
      <c r="U55" s="20">
        <f>Source!S27</f>
        <v>4155.0200000000004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>
        <f>T55</f>
        <v>227.05</v>
      </c>
      <c r="GK55" s="20">
        <f>T55</f>
        <v>227.05</v>
      </c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>
        <f>T55</f>
        <v>227.05</v>
      </c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</row>
    <row r="56" spans="1:255" x14ac:dyDescent="0.2">
      <c r="A56" s="60"/>
      <c r="B56" s="57"/>
      <c r="C56" s="57" t="s">
        <v>290</v>
      </c>
      <c r="D56" s="58"/>
      <c r="E56" s="59">
        <v>65</v>
      </c>
      <c r="F56" s="124" t="s">
        <v>291</v>
      </c>
      <c r="G56" s="123"/>
      <c r="H56" s="61">
        <f>ROUND((Source!AF27*Source!AV27+Source!AE27*Source!AV27)*(Source!FX27)/100,2)</f>
        <v>147.58000000000001</v>
      </c>
      <c r="I56" s="61">
        <f>T56</f>
        <v>147.58000000000001</v>
      </c>
      <c r="J56" s="123" t="s">
        <v>297</v>
      </c>
      <c r="K56" s="62">
        <f>U56</f>
        <v>2285.2600000000002</v>
      </c>
      <c r="O56" s="20"/>
      <c r="P56" s="20"/>
      <c r="Q56" s="20"/>
      <c r="R56" s="20"/>
      <c r="S56" s="20"/>
      <c r="T56" s="20">
        <f>ROUND((ROUND(Source!AF27*Source!AV27*Source!I27,2)+ROUND(Source!AE27*Source!AV27*Source!I27,2))*(Source!FX27)/100,2)</f>
        <v>147.58000000000001</v>
      </c>
      <c r="U56" s="20">
        <f>Source!X27</f>
        <v>2285.2600000000002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>
        <f>T56</f>
        <v>147.58000000000001</v>
      </c>
      <c r="GZ56" s="20"/>
      <c r="HA56" s="20"/>
      <c r="HB56" s="20"/>
      <c r="HC56" s="20"/>
      <c r="HD56" s="20"/>
      <c r="HE56" s="20">
        <f>T56</f>
        <v>147.58000000000001</v>
      </c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</row>
    <row r="57" spans="1:255" x14ac:dyDescent="0.2">
      <c r="A57" s="60"/>
      <c r="B57" s="57"/>
      <c r="C57" s="57" t="s">
        <v>293</v>
      </c>
      <c r="D57" s="58"/>
      <c r="E57" s="59">
        <v>40</v>
      </c>
      <c r="F57" s="124" t="s">
        <v>291</v>
      </c>
      <c r="G57" s="123"/>
      <c r="H57" s="61">
        <f>ROUND((Source!AF27*Source!AV27+Source!AE27*Source!AV27)*(Source!FY27)/100,2)</f>
        <v>90.82</v>
      </c>
      <c r="I57" s="61">
        <f>T57</f>
        <v>90.82</v>
      </c>
      <c r="J57" s="123" t="s">
        <v>298</v>
      </c>
      <c r="K57" s="62">
        <f>U57</f>
        <v>1329.61</v>
      </c>
      <c r="O57" s="20"/>
      <c r="P57" s="20"/>
      <c r="Q57" s="20"/>
      <c r="R57" s="20"/>
      <c r="S57" s="20"/>
      <c r="T57" s="20">
        <f>ROUND((ROUND(Source!AF27*Source!AV27*Source!I27,2)+ROUND(Source!AE27*Source!AV27*Source!I27,2))*(Source!FY27)/100,2)</f>
        <v>90.82</v>
      </c>
      <c r="U57" s="20">
        <f>Source!Y27</f>
        <v>1329.61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>
        <f>T57</f>
        <v>90.82</v>
      </c>
      <c r="HA57" s="20"/>
      <c r="HB57" s="20"/>
      <c r="HC57" s="20"/>
      <c r="HD57" s="20"/>
      <c r="HE57" s="20">
        <f>T57</f>
        <v>90.82</v>
      </c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</row>
    <row r="58" spans="1:255" ht="13.5" thickBot="1" x14ac:dyDescent="0.25">
      <c r="A58" s="65"/>
      <c r="B58" s="66"/>
      <c r="C58" s="66" t="s">
        <v>295</v>
      </c>
      <c r="D58" s="67" t="s">
        <v>296</v>
      </c>
      <c r="E58" s="68">
        <v>18</v>
      </c>
      <c r="F58" s="69"/>
      <c r="G58" s="69"/>
      <c r="H58" s="69">
        <f>ROUND(Source!AH27,2)</f>
        <v>18</v>
      </c>
      <c r="I58" s="70">
        <f>Source!U27</f>
        <v>18</v>
      </c>
      <c r="J58" s="69"/>
      <c r="K58" s="71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</row>
    <row r="59" spans="1:255" x14ac:dyDescent="0.2">
      <c r="A59" s="64"/>
      <c r="B59" s="63"/>
      <c r="C59" s="63"/>
      <c r="D59" s="63"/>
      <c r="E59" s="63"/>
      <c r="F59" s="63"/>
      <c r="G59" s="63"/>
      <c r="H59" s="174">
        <f>R59</f>
        <v>465.45</v>
      </c>
      <c r="I59" s="175"/>
      <c r="J59" s="174">
        <f>S59</f>
        <v>7769.89</v>
      </c>
      <c r="K59" s="176"/>
      <c r="O59" s="20"/>
      <c r="P59" s="20"/>
      <c r="Q59" s="20"/>
      <c r="R59" s="20">
        <f>SUM(T54:T58)</f>
        <v>465.45</v>
      </c>
      <c r="S59" s="20">
        <f>SUM(U54:U58)</f>
        <v>7769.89</v>
      </c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>
        <f>R59</f>
        <v>465.45</v>
      </c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</row>
    <row r="60" spans="1:255" ht="24" x14ac:dyDescent="0.2">
      <c r="A60" s="72">
        <v>3</v>
      </c>
      <c r="B60" s="78" t="s">
        <v>34</v>
      </c>
      <c r="C60" s="73" t="s">
        <v>35</v>
      </c>
      <c r="D60" s="74" t="s">
        <v>15</v>
      </c>
      <c r="E60" s="75">
        <v>1</v>
      </c>
      <c r="F60" s="76">
        <f>Source!AK29</f>
        <v>181.42000000000002</v>
      </c>
      <c r="G60" s="125" t="s">
        <v>3</v>
      </c>
      <c r="H60" s="76">
        <f>Source!AB29</f>
        <v>162.12</v>
      </c>
      <c r="I60" s="76"/>
      <c r="J60" s="126"/>
      <c r="K60" s="77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</row>
    <row r="61" spans="1:255" x14ac:dyDescent="0.2">
      <c r="A61" s="53"/>
      <c r="B61" s="50"/>
      <c r="C61" s="50" t="s">
        <v>286</v>
      </c>
      <c r="D61" s="51"/>
      <c r="E61" s="52"/>
      <c r="F61" s="54">
        <v>119.29</v>
      </c>
      <c r="G61" s="122"/>
      <c r="H61" s="54">
        <f>Source!AF29</f>
        <v>119.29</v>
      </c>
      <c r="I61" s="54">
        <f>T61</f>
        <v>119.29</v>
      </c>
      <c r="J61" s="122">
        <v>18.3</v>
      </c>
      <c r="K61" s="55">
        <f>U61</f>
        <v>2183.0100000000002</v>
      </c>
      <c r="O61" s="20"/>
      <c r="P61" s="20"/>
      <c r="Q61" s="20"/>
      <c r="R61" s="20"/>
      <c r="S61" s="20"/>
      <c r="T61" s="20">
        <f>ROUND(Source!AF29*Source!AV29*Source!I29,2)</f>
        <v>119.29</v>
      </c>
      <c r="U61" s="20">
        <f>Source!S29</f>
        <v>2183.0100000000002</v>
      </c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>
        <f>T61</f>
        <v>119.29</v>
      </c>
      <c r="GK61" s="20">
        <f>T61</f>
        <v>119.29</v>
      </c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>
        <f>T61</f>
        <v>119.29</v>
      </c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</row>
    <row r="62" spans="1:255" x14ac:dyDescent="0.2">
      <c r="A62" s="60"/>
      <c r="B62" s="57"/>
      <c r="C62" s="57" t="s">
        <v>288</v>
      </c>
      <c r="D62" s="58"/>
      <c r="E62" s="59"/>
      <c r="F62" s="61">
        <v>42.82</v>
      </c>
      <c r="G62" s="123"/>
      <c r="H62" s="61">
        <f>Source!AD29</f>
        <v>42.82</v>
      </c>
      <c r="I62" s="61">
        <f>T62</f>
        <v>42.82</v>
      </c>
      <c r="J62" s="123">
        <v>12.5</v>
      </c>
      <c r="K62" s="62">
        <f>U62</f>
        <v>535.25</v>
      </c>
      <c r="O62" s="20"/>
      <c r="P62" s="20"/>
      <c r="Q62" s="20"/>
      <c r="R62" s="20"/>
      <c r="S62" s="20"/>
      <c r="T62" s="20">
        <f>ROUND(Source!AD29*Source!AV29*Source!I29,2)</f>
        <v>42.82</v>
      </c>
      <c r="U62" s="20">
        <f>Source!Q29</f>
        <v>535.25</v>
      </c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>
        <f>T62</f>
        <v>42.82</v>
      </c>
      <c r="GK62" s="20"/>
      <c r="GL62" s="20">
        <f>T62</f>
        <v>42.82</v>
      </c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>
        <f>T62</f>
        <v>42.82</v>
      </c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</row>
    <row r="63" spans="1:255" x14ac:dyDescent="0.2">
      <c r="A63" s="60"/>
      <c r="B63" s="57"/>
      <c r="C63" s="57" t="s">
        <v>289</v>
      </c>
      <c r="D63" s="58"/>
      <c r="E63" s="59"/>
      <c r="F63" s="61">
        <v>5.01</v>
      </c>
      <c r="G63" s="123"/>
      <c r="H63" s="61">
        <f>Source!AE29</f>
        <v>5.01</v>
      </c>
      <c r="I63" s="61">
        <f>GM63</f>
        <v>5.01</v>
      </c>
      <c r="J63" s="123">
        <v>18.3</v>
      </c>
      <c r="K63" s="62">
        <f>Source!R29</f>
        <v>91.68</v>
      </c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>
        <f>ROUND(Source!AE29*Source!AV29*Source!I29,2)</f>
        <v>5.01</v>
      </c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</row>
    <row r="64" spans="1:255" hidden="1" x14ac:dyDescent="0.2">
      <c r="A64" s="60"/>
      <c r="B64" s="57"/>
      <c r="C64" s="57" t="s">
        <v>299</v>
      </c>
      <c r="D64" s="58"/>
      <c r="E64" s="59"/>
      <c r="F64" s="61">
        <v>19.309999999999999</v>
      </c>
      <c r="G64" s="123"/>
      <c r="H64" s="61">
        <f>Source!AC29</f>
        <v>0.01</v>
      </c>
      <c r="I64" s="61">
        <f>T64</f>
        <v>0.01</v>
      </c>
      <c r="J64" s="123">
        <v>7.5</v>
      </c>
      <c r="K64" s="62">
        <f>U64</f>
        <v>0.08</v>
      </c>
      <c r="O64" s="20"/>
      <c r="P64" s="20"/>
      <c r="Q64" s="20"/>
      <c r="R64" s="20"/>
      <c r="S64" s="20"/>
      <c r="T64" s="20">
        <f>ROUND(Source!AC29*Source!AW29*Source!I29,2)</f>
        <v>0.01</v>
      </c>
      <c r="U64" s="20">
        <f>Source!P29</f>
        <v>0.08</v>
      </c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>
        <f>T64</f>
        <v>0.01</v>
      </c>
      <c r="GK64" s="20"/>
      <c r="GL64" s="20"/>
      <c r="GM64" s="20"/>
      <c r="GN64" s="20">
        <f>T64</f>
        <v>0.01</v>
      </c>
      <c r="GO64" s="20"/>
      <c r="GP64" s="20">
        <f>T64</f>
        <v>0.01</v>
      </c>
      <c r="GQ64" s="20">
        <f>T64</f>
        <v>0.01</v>
      </c>
      <c r="GR64" s="20"/>
      <c r="GS64" s="20">
        <f>T64</f>
        <v>0.01</v>
      </c>
      <c r="GT64" s="20"/>
      <c r="GU64" s="20"/>
      <c r="GV64" s="20"/>
      <c r="GW64" s="20">
        <f>ROUND(Source!AG29*Source!I29,2)</f>
        <v>0</v>
      </c>
      <c r="GX64" s="20">
        <f>ROUND(Source!AJ29*Source!I29,2)</f>
        <v>0</v>
      </c>
      <c r="GY64" s="20"/>
      <c r="GZ64" s="20"/>
      <c r="HA64" s="20"/>
      <c r="HB64" s="20"/>
      <c r="HC64" s="20">
        <f>T64</f>
        <v>0.01</v>
      </c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</row>
    <row r="65" spans="1:255" x14ac:dyDescent="0.2">
      <c r="A65" s="60"/>
      <c r="B65" s="57"/>
      <c r="C65" s="57" t="s">
        <v>290</v>
      </c>
      <c r="D65" s="58"/>
      <c r="E65" s="59">
        <v>95</v>
      </c>
      <c r="F65" s="124" t="s">
        <v>291</v>
      </c>
      <c r="G65" s="123"/>
      <c r="H65" s="61">
        <f>ROUND((Source!AF29*Source!AV29+Source!AE29*Source!AV29)*(Source!FX29)/100,2)</f>
        <v>118.09</v>
      </c>
      <c r="I65" s="61">
        <f>T65</f>
        <v>118.09</v>
      </c>
      <c r="J65" s="123" t="s">
        <v>292</v>
      </c>
      <c r="K65" s="62">
        <f>U65</f>
        <v>1842.5</v>
      </c>
      <c r="O65" s="20"/>
      <c r="P65" s="20"/>
      <c r="Q65" s="20"/>
      <c r="R65" s="20"/>
      <c r="S65" s="20"/>
      <c r="T65" s="20">
        <f>ROUND((ROUND(Source!AF29*Source!AV29*Source!I29,2)+ROUND(Source!AE29*Source!AV29*Source!I29,2))*(Source!FX29)/100,2)</f>
        <v>118.09</v>
      </c>
      <c r="U65" s="20">
        <f>Source!X29</f>
        <v>1842.5</v>
      </c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>
        <f>T65</f>
        <v>118.09</v>
      </c>
      <c r="GZ65" s="20"/>
      <c r="HA65" s="20"/>
      <c r="HB65" s="20"/>
      <c r="HC65" s="20">
        <f>T65</f>
        <v>118.09</v>
      </c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</row>
    <row r="66" spans="1:255" x14ac:dyDescent="0.2">
      <c r="A66" s="60"/>
      <c r="B66" s="57"/>
      <c r="C66" s="57" t="s">
        <v>293</v>
      </c>
      <c r="D66" s="58"/>
      <c r="E66" s="59">
        <v>65</v>
      </c>
      <c r="F66" s="124" t="s">
        <v>291</v>
      </c>
      <c r="G66" s="123"/>
      <c r="H66" s="61">
        <f>ROUND((Source!AF29*Source!AV29+Source!AE29*Source!AV29)*(Source!FY29)/100,2)</f>
        <v>80.8</v>
      </c>
      <c r="I66" s="61">
        <f>T66</f>
        <v>80.8</v>
      </c>
      <c r="J66" s="123" t="s">
        <v>294</v>
      </c>
      <c r="K66" s="62">
        <f>U66</f>
        <v>1182.8399999999999</v>
      </c>
      <c r="O66" s="20"/>
      <c r="P66" s="20"/>
      <c r="Q66" s="20"/>
      <c r="R66" s="20"/>
      <c r="S66" s="20"/>
      <c r="T66" s="20">
        <f>ROUND((ROUND(Source!AF29*Source!AV29*Source!I29,2)+ROUND(Source!AE29*Source!AV29*Source!I29,2))*(Source!FY29)/100,2)</f>
        <v>80.8</v>
      </c>
      <c r="U66" s="20">
        <f>Source!Y29</f>
        <v>1182.8399999999999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>
        <f>T66</f>
        <v>80.8</v>
      </c>
      <c r="HA66" s="20"/>
      <c r="HB66" s="20"/>
      <c r="HC66" s="20">
        <f>T66</f>
        <v>80.8</v>
      </c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</row>
    <row r="67" spans="1:255" ht="13.5" thickBot="1" x14ac:dyDescent="0.25">
      <c r="A67" s="65"/>
      <c r="B67" s="66"/>
      <c r="C67" s="66" t="s">
        <v>295</v>
      </c>
      <c r="D67" s="67" t="s">
        <v>296</v>
      </c>
      <c r="E67" s="68">
        <v>12.4</v>
      </c>
      <c r="F67" s="69"/>
      <c r="G67" s="69"/>
      <c r="H67" s="69">
        <f>ROUND(Source!AH29,2)</f>
        <v>12.4</v>
      </c>
      <c r="I67" s="70">
        <f>Source!U29</f>
        <v>12.4</v>
      </c>
      <c r="J67" s="69"/>
      <c r="K67" s="71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</row>
    <row r="68" spans="1:255" x14ac:dyDescent="0.2">
      <c r="A68" s="64"/>
      <c r="B68" s="63"/>
      <c r="C68" s="63"/>
      <c r="D68" s="63"/>
      <c r="E68" s="63"/>
      <c r="F68" s="63"/>
      <c r="G68" s="63"/>
      <c r="H68" s="174">
        <f>R68</f>
        <v>361.01000000000005</v>
      </c>
      <c r="I68" s="175"/>
      <c r="J68" s="174">
        <f>S68</f>
        <v>5743.68</v>
      </c>
      <c r="K68" s="176"/>
      <c r="O68" s="20"/>
      <c r="P68" s="20"/>
      <c r="Q68" s="20"/>
      <c r="R68" s="20">
        <f>SUM(T60:T67)</f>
        <v>361.01000000000005</v>
      </c>
      <c r="S68" s="20">
        <f>SUM(U60:U67)</f>
        <v>5743.68</v>
      </c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>
        <f>R68</f>
        <v>361.01000000000005</v>
      </c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</row>
    <row r="69" spans="1:255" x14ac:dyDescent="0.2">
      <c r="A69" s="72">
        <v>4</v>
      </c>
      <c r="B69" s="78" t="s">
        <v>38</v>
      </c>
      <c r="C69" s="73" t="s">
        <v>39</v>
      </c>
      <c r="D69" s="74" t="s">
        <v>41</v>
      </c>
      <c r="E69" s="75">
        <v>1</v>
      </c>
      <c r="F69" s="76">
        <v>26680</v>
      </c>
      <c r="G69" s="127"/>
      <c r="H69" s="76">
        <f>Source!AC31</f>
        <v>26680</v>
      </c>
      <c r="I69" s="76">
        <f>T69</f>
        <v>26680</v>
      </c>
      <c r="J69" s="127">
        <v>7.5</v>
      </c>
      <c r="K69" s="77">
        <f>U69</f>
        <v>200100</v>
      </c>
      <c r="O69" s="20"/>
      <c r="P69" s="20"/>
      <c r="Q69" s="20"/>
      <c r="R69" s="20"/>
      <c r="S69" s="20"/>
      <c r="T69" s="20">
        <f>ROUND(Source!AC31*Source!AW31*Source!I31,2)</f>
        <v>26680</v>
      </c>
      <c r="U69" s="20">
        <f>Source!P31</f>
        <v>200100</v>
      </c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>
        <f>T69</f>
        <v>26680</v>
      </c>
      <c r="GK69" s="20"/>
      <c r="GL69" s="20"/>
      <c r="GM69" s="20"/>
      <c r="GN69" s="20">
        <f>T69</f>
        <v>26680</v>
      </c>
      <c r="GO69" s="20"/>
      <c r="GP69" s="20">
        <f>T69</f>
        <v>26680</v>
      </c>
      <c r="GQ69" s="20">
        <f>T69</f>
        <v>26680</v>
      </c>
      <c r="GR69" s="20"/>
      <c r="GS69" s="20">
        <f>T69</f>
        <v>26680</v>
      </c>
      <c r="GT69" s="20"/>
      <c r="GU69" s="20"/>
      <c r="GV69" s="20"/>
      <c r="GW69" s="20">
        <f>ROUND(Source!AG31*Source!I31,2)</f>
        <v>0</v>
      </c>
      <c r="GX69" s="20">
        <f>ROUND(Source!AJ31*Source!I31,2)</f>
        <v>0</v>
      </c>
      <c r="GY69" s="20"/>
      <c r="GZ69" s="20"/>
      <c r="HA69" s="20"/>
      <c r="HB69" s="20">
        <f>T69</f>
        <v>26680</v>
      </c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</row>
    <row r="70" spans="1:255" ht="13.5" thickBot="1" x14ac:dyDescent="0.25">
      <c r="A70" s="128"/>
      <c r="B70" s="129" t="s">
        <v>300</v>
      </c>
      <c r="C70" s="129" t="s">
        <v>301</v>
      </c>
      <c r="D70" s="130"/>
      <c r="E70" s="130"/>
      <c r="F70" s="130"/>
      <c r="G70" s="130"/>
      <c r="H70" s="130"/>
      <c r="I70" s="130"/>
      <c r="J70" s="130"/>
      <c r="K70" s="131"/>
    </row>
    <row r="71" spans="1:255" x14ac:dyDescent="0.2">
      <c r="A71" s="64"/>
      <c r="B71" s="63"/>
      <c r="C71" s="63"/>
      <c r="D71" s="63"/>
      <c r="E71" s="63"/>
      <c r="F71" s="63"/>
      <c r="G71" s="63"/>
      <c r="H71" s="174">
        <f>R71</f>
        <v>26680</v>
      </c>
      <c r="I71" s="175"/>
      <c r="J71" s="174">
        <f>S71</f>
        <v>200100</v>
      </c>
      <c r="K71" s="176"/>
      <c r="O71" s="20"/>
      <c r="P71" s="20"/>
      <c r="Q71" s="20"/>
      <c r="R71" s="20">
        <f>SUM(T69:T70)</f>
        <v>26680</v>
      </c>
      <c r="S71" s="20">
        <f>SUM(U69:U70)</f>
        <v>200100</v>
      </c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>
        <f>R71</f>
        <v>26680</v>
      </c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</row>
    <row r="72" spans="1:255" x14ac:dyDescent="0.2">
      <c r="A72" s="72">
        <v>5</v>
      </c>
      <c r="B72" s="78" t="s">
        <v>38</v>
      </c>
      <c r="C72" s="73" t="s">
        <v>47</v>
      </c>
      <c r="D72" s="74" t="s">
        <v>40</v>
      </c>
      <c r="E72" s="75">
        <v>25</v>
      </c>
      <c r="F72" s="76">
        <v>1.06</v>
      </c>
      <c r="G72" s="127"/>
      <c r="H72" s="76">
        <f>Source!AC33</f>
        <v>1.06</v>
      </c>
      <c r="I72" s="76">
        <f>T72</f>
        <v>26.5</v>
      </c>
      <c r="J72" s="127">
        <v>7.5</v>
      </c>
      <c r="K72" s="77">
        <f>U72</f>
        <v>198.75</v>
      </c>
      <c r="O72" s="20"/>
      <c r="P72" s="20"/>
      <c r="Q72" s="20"/>
      <c r="R72" s="20"/>
      <c r="S72" s="20"/>
      <c r="T72" s="20">
        <f>ROUND(Source!AC33*Source!AW33*Source!I33,2)</f>
        <v>26.5</v>
      </c>
      <c r="U72" s="20">
        <f>Source!P33</f>
        <v>198.75</v>
      </c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>
        <f>T72</f>
        <v>26.5</v>
      </c>
      <c r="GK72" s="20"/>
      <c r="GL72" s="20"/>
      <c r="GM72" s="20"/>
      <c r="GN72" s="20">
        <f>T72</f>
        <v>26.5</v>
      </c>
      <c r="GO72" s="20"/>
      <c r="GP72" s="20">
        <f>T72</f>
        <v>26.5</v>
      </c>
      <c r="GQ72" s="20">
        <f>T72</f>
        <v>26.5</v>
      </c>
      <c r="GR72" s="20"/>
      <c r="GS72" s="20">
        <f>T72</f>
        <v>26.5</v>
      </c>
      <c r="GT72" s="20"/>
      <c r="GU72" s="20"/>
      <c r="GV72" s="20"/>
      <c r="GW72" s="20">
        <f>ROUND(Source!AG33*Source!I33,2)</f>
        <v>0</v>
      </c>
      <c r="GX72" s="20">
        <f>ROUND(Source!AJ33*Source!I33,2)</f>
        <v>0</v>
      </c>
      <c r="GY72" s="20"/>
      <c r="GZ72" s="20"/>
      <c r="HA72" s="20"/>
      <c r="HB72" s="20">
        <f>T72</f>
        <v>26.5</v>
      </c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</row>
    <row r="73" spans="1:255" ht="13.5" thickBot="1" x14ac:dyDescent="0.25">
      <c r="A73" s="128"/>
      <c r="B73" s="129" t="s">
        <v>300</v>
      </c>
      <c r="C73" s="129" t="s">
        <v>302</v>
      </c>
      <c r="D73" s="130"/>
      <c r="E73" s="130"/>
      <c r="F73" s="130"/>
      <c r="G73" s="130"/>
      <c r="H73" s="130"/>
      <c r="I73" s="130"/>
      <c r="J73" s="130"/>
      <c r="K73" s="131"/>
    </row>
    <row r="74" spans="1:255" x14ac:dyDescent="0.2">
      <c r="A74" s="64"/>
      <c r="B74" s="63"/>
      <c r="C74" s="63"/>
      <c r="D74" s="63"/>
      <c r="E74" s="63"/>
      <c r="F74" s="63"/>
      <c r="G74" s="63"/>
      <c r="H74" s="174">
        <f>R74</f>
        <v>26.5</v>
      </c>
      <c r="I74" s="175"/>
      <c r="J74" s="174">
        <f>S74</f>
        <v>198.75</v>
      </c>
      <c r="K74" s="176"/>
      <c r="O74" s="20"/>
      <c r="P74" s="20"/>
      <c r="Q74" s="20"/>
      <c r="R74" s="20">
        <f>SUM(T72:T73)</f>
        <v>26.5</v>
      </c>
      <c r="S74" s="20">
        <f>SUM(U72:U73)</f>
        <v>198.75</v>
      </c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>
        <f>R74</f>
        <v>26.5</v>
      </c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</row>
    <row r="75" spans="1:255" x14ac:dyDescent="0.2">
      <c r="A75" s="72">
        <v>6</v>
      </c>
      <c r="B75" s="78" t="s">
        <v>38</v>
      </c>
      <c r="C75" s="73" t="s">
        <v>50</v>
      </c>
      <c r="D75" s="74" t="s">
        <v>40</v>
      </c>
      <c r="E75" s="75">
        <v>15</v>
      </c>
      <c r="F75" s="76">
        <v>1.29</v>
      </c>
      <c r="G75" s="127"/>
      <c r="H75" s="76">
        <f>Source!AC35</f>
        <v>1.29</v>
      </c>
      <c r="I75" s="76">
        <f>T75</f>
        <v>19.350000000000001</v>
      </c>
      <c r="J75" s="127">
        <v>7.5</v>
      </c>
      <c r="K75" s="77">
        <f>U75</f>
        <v>145.13</v>
      </c>
      <c r="O75" s="20"/>
      <c r="P75" s="20"/>
      <c r="Q75" s="20"/>
      <c r="R75" s="20"/>
      <c r="S75" s="20"/>
      <c r="T75" s="20">
        <f>ROUND(Source!AC35*Source!AW35*Source!I35,2)</f>
        <v>19.350000000000001</v>
      </c>
      <c r="U75" s="20">
        <f>Source!P35</f>
        <v>145.13</v>
      </c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>
        <f>T75</f>
        <v>19.350000000000001</v>
      </c>
      <c r="GK75" s="20"/>
      <c r="GL75" s="20"/>
      <c r="GM75" s="20"/>
      <c r="GN75" s="20">
        <f>T75</f>
        <v>19.350000000000001</v>
      </c>
      <c r="GO75" s="20"/>
      <c r="GP75" s="20">
        <f>T75</f>
        <v>19.350000000000001</v>
      </c>
      <c r="GQ75" s="20">
        <f>T75</f>
        <v>19.350000000000001</v>
      </c>
      <c r="GR75" s="20"/>
      <c r="GS75" s="20">
        <f>T75</f>
        <v>19.350000000000001</v>
      </c>
      <c r="GT75" s="20"/>
      <c r="GU75" s="20"/>
      <c r="GV75" s="20"/>
      <c r="GW75" s="20">
        <f>ROUND(Source!AG35*Source!I35,2)</f>
        <v>0</v>
      </c>
      <c r="GX75" s="20">
        <f>ROUND(Source!AJ35*Source!I35,2)</f>
        <v>0</v>
      </c>
      <c r="GY75" s="20"/>
      <c r="GZ75" s="20"/>
      <c r="HA75" s="20"/>
      <c r="HB75" s="20">
        <f>T75</f>
        <v>19.350000000000001</v>
      </c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</row>
    <row r="76" spans="1:255" ht="13.5" thickBot="1" x14ac:dyDescent="0.25">
      <c r="A76" s="128"/>
      <c r="B76" s="129" t="s">
        <v>300</v>
      </c>
      <c r="C76" s="129" t="s">
        <v>303</v>
      </c>
      <c r="D76" s="130"/>
      <c r="E76" s="130"/>
      <c r="F76" s="130"/>
      <c r="G76" s="130"/>
      <c r="H76" s="130"/>
      <c r="I76" s="130"/>
      <c r="J76" s="130"/>
      <c r="K76" s="131"/>
    </row>
    <row r="77" spans="1:255" x14ac:dyDescent="0.2">
      <c r="A77" s="64"/>
      <c r="B77" s="63"/>
      <c r="C77" s="63"/>
      <c r="D77" s="63"/>
      <c r="E77" s="63"/>
      <c r="F77" s="63"/>
      <c r="G77" s="63"/>
      <c r="H77" s="174">
        <f>R77</f>
        <v>19.350000000000001</v>
      </c>
      <c r="I77" s="175"/>
      <c r="J77" s="174">
        <f>S77</f>
        <v>145.13</v>
      </c>
      <c r="K77" s="176"/>
      <c r="O77" s="20"/>
      <c r="P77" s="20"/>
      <c r="Q77" s="20"/>
      <c r="R77" s="20">
        <f>SUM(T75:T76)</f>
        <v>19.350000000000001</v>
      </c>
      <c r="S77" s="20">
        <f>SUM(U75:U76)</f>
        <v>145.13</v>
      </c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>
        <f>R77</f>
        <v>19.350000000000001</v>
      </c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</row>
    <row r="78" spans="1:255" x14ac:dyDescent="0.2">
      <c r="A78" s="72">
        <v>7</v>
      </c>
      <c r="B78" s="78" t="s">
        <v>38</v>
      </c>
      <c r="C78" s="73" t="s">
        <v>53</v>
      </c>
      <c r="D78" s="74" t="s">
        <v>40</v>
      </c>
      <c r="E78" s="75">
        <v>25</v>
      </c>
      <c r="F78" s="76">
        <v>0.32</v>
      </c>
      <c r="G78" s="127"/>
      <c r="H78" s="76">
        <f>Source!AC37</f>
        <v>0.32</v>
      </c>
      <c r="I78" s="76">
        <f>T78</f>
        <v>8</v>
      </c>
      <c r="J78" s="127">
        <v>7.5</v>
      </c>
      <c r="K78" s="77">
        <f>U78</f>
        <v>60</v>
      </c>
      <c r="O78" s="20"/>
      <c r="P78" s="20"/>
      <c r="Q78" s="20"/>
      <c r="R78" s="20"/>
      <c r="S78" s="20"/>
      <c r="T78" s="20">
        <f>ROUND(Source!AC37*Source!AW37*Source!I37,2)</f>
        <v>8</v>
      </c>
      <c r="U78" s="20">
        <f>Source!P37</f>
        <v>60</v>
      </c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>
        <f>T78</f>
        <v>8</v>
      </c>
      <c r="GK78" s="20"/>
      <c r="GL78" s="20"/>
      <c r="GM78" s="20"/>
      <c r="GN78" s="20">
        <f>T78</f>
        <v>8</v>
      </c>
      <c r="GO78" s="20"/>
      <c r="GP78" s="20">
        <f>T78</f>
        <v>8</v>
      </c>
      <c r="GQ78" s="20">
        <f>T78</f>
        <v>8</v>
      </c>
      <c r="GR78" s="20"/>
      <c r="GS78" s="20">
        <f>T78</f>
        <v>8</v>
      </c>
      <c r="GT78" s="20"/>
      <c r="GU78" s="20"/>
      <c r="GV78" s="20"/>
      <c r="GW78" s="20">
        <f>ROUND(Source!AG37*Source!I37,2)</f>
        <v>0</v>
      </c>
      <c r="GX78" s="20">
        <f>ROUND(Source!AJ37*Source!I37,2)</f>
        <v>0</v>
      </c>
      <c r="GY78" s="20"/>
      <c r="GZ78" s="20"/>
      <c r="HA78" s="20"/>
      <c r="HB78" s="20">
        <f>T78</f>
        <v>8</v>
      </c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</row>
    <row r="79" spans="1:255" ht="13.5" thickBot="1" x14ac:dyDescent="0.25">
      <c r="A79" s="128"/>
      <c r="B79" s="129" t="s">
        <v>300</v>
      </c>
      <c r="C79" s="129" t="s">
        <v>304</v>
      </c>
      <c r="D79" s="130"/>
      <c r="E79" s="130"/>
      <c r="F79" s="130"/>
      <c r="G79" s="130"/>
      <c r="H79" s="130"/>
      <c r="I79" s="130"/>
      <c r="J79" s="130"/>
      <c r="K79" s="131"/>
    </row>
    <row r="80" spans="1:255" x14ac:dyDescent="0.2">
      <c r="A80" s="64"/>
      <c r="B80" s="63"/>
      <c r="C80" s="63"/>
      <c r="D80" s="63"/>
      <c r="E80" s="63"/>
      <c r="F80" s="63"/>
      <c r="G80" s="63"/>
      <c r="H80" s="174">
        <f>R80</f>
        <v>8</v>
      </c>
      <c r="I80" s="175"/>
      <c r="J80" s="174">
        <f>S80</f>
        <v>60</v>
      </c>
      <c r="K80" s="176"/>
      <c r="O80" s="20"/>
      <c r="P80" s="20"/>
      <c r="Q80" s="20"/>
      <c r="R80" s="20">
        <f>SUM(T78:T79)</f>
        <v>8</v>
      </c>
      <c r="S80" s="20">
        <f>SUM(U78:U79)</f>
        <v>60</v>
      </c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>
        <f>R80</f>
        <v>8</v>
      </c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</row>
    <row r="81" spans="1:255" x14ac:dyDescent="0.2">
      <c r="A81" s="72">
        <v>8</v>
      </c>
      <c r="B81" s="78" t="s">
        <v>38</v>
      </c>
      <c r="C81" s="73" t="s">
        <v>53</v>
      </c>
      <c r="D81" s="74" t="s">
        <v>40</v>
      </c>
      <c r="E81" s="75">
        <v>15</v>
      </c>
      <c r="F81" s="76">
        <v>0.46</v>
      </c>
      <c r="G81" s="127"/>
      <c r="H81" s="76">
        <f>Source!AC39</f>
        <v>0.46</v>
      </c>
      <c r="I81" s="76">
        <f>T81</f>
        <v>6.9</v>
      </c>
      <c r="J81" s="127">
        <v>7.5</v>
      </c>
      <c r="K81" s="77">
        <f>U81</f>
        <v>51.75</v>
      </c>
      <c r="O81" s="20"/>
      <c r="P81" s="20"/>
      <c r="Q81" s="20"/>
      <c r="R81" s="20"/>
      <c r="S81" s="20"/>
      <c r="T81" s="20">
        <f>ROUND(Source!AC39*Source!AW39*Source!I39,2)</f>
        <v>6.9</v>
      </c>
      <c r="U81" s="20">
        <f>Source!P39</f>
        <v>51.75</v>
      </c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>
        <f>T81</f>
        <v>6.9</v>
      </c>
      <c r="GK81" s="20"/>
      <c r="GL81" s="20"/>
      <c r="GM81" s="20"/>
      <c r="GN81" s="20">
        <f>T81</f>
        <v>6.9</v>
      </c>
      <c r="GO81" s="20"/>
      <c r="GP81" s="20">
        <f>T81</f>
        <v>6.9</v>
      </c>
      <c r="GQ81" s="20">
        <f>T81</f>
        <v>6.9</v>
      </c>
      <c r="GR81" s="20"/>
      <c r="GS81" s="20">
        <f>T81</f>
        <v>6.9</v>
      </c>
      <c r="GT81" s="20"/>
      <c r="GU81" s="20"/>
      <c r="GV81" s="20"/>
      <c r="GW81" s="20">
        <f>ROUND(Source!AG39*Source!I39,2)</f>
        <v>0</v>
      </c>
      <c r="GX81" s="20">
        <f>ROUND(Source!AJ39*Source!I39,2)</f>
        <v>0</v>
      </c>
      <c r="GY81" s="20"/>
      <c r="GZ81" s="20"/>
      <c r="HA81" s="20"/>
      <c r="HB81" s="20">
        <f>T81</f>
        <v>6.9</v>
      </c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</row>
    <row r="82" spans="1:255" ht="13.5" thickBot="1" x14ac:dyDescent="0.25">
      <c r="A82" s="128"/>
      <c r="B82" s="129" t="s">
        <v>300</v>
      </c>
      <c r="C82" s="129" t="s">
        <v>305</v>
      </c>
      <c r="D82" s="130"/>
      <c r="E82" s="130"/>
      <c r="F82" s="130"/>
      <c r="G82" s="130"/>
      <c r="H82" s="130"/>
      <c r="I82" s="130"/>
      <c r="J82" s="130"/>
      <c r="K82" s="131"/>
    </row>
    <row r="83" spans="1:255" x14ac:dyDescent="0.2">
      <c r="A83" s="64"/>
      <c r="B83" s="63"/>
      <c r="C83" s="63"/>
      <c r="D83" s="63"/>
      <c r="E83" s="63"/>
      <c r="F83" s="63"/>
      <c r="G83" s="63"/>
      <c r="H83" s="174">
        <f>R83</f>
        <v>6.9</v>
      </c>
      <c r="I83" s="175"/>
      <c r="J83" s="174">
        <f>S83</f>
        <v>51.75</v>
      </c>
      <c r="K83" s="176"/>
      <c r="O83" s="20"/>
      <c r="P83" s="20"/>
      <c r="Q83" s="20"/>
      <c r="R83" s="20">
        <f>SUM(T81:T82)</f>
        <v>6.9</v>
      </c>
      <c r="S83" s="20">
        <f>SUM(U81:U82)</f>
        <v>51.75</v>
      </c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>
        <f>R83</f>
        <v>6.9</v>
      </c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</row>
    <row r="84" spans="1:255" x14ac:dyDescent="0.2">
      <c r="A84" s="72">
        <v>9</v>
      </c>
      <c r="B84" s="78" t="s">
        <v>38</v>
      </c>
      <c r="C84" s="73" t="s">
        <v>58</v>
      </c>
      <c r="D84" s="74" t="s">
        <v>40</v>
      </c>
      <c r="E84" s="75">
        <v>4</v>
      </c>
      <c r="F84" s="76">
        <v>2.94</v>
      </c>
      <c r="G84" s="127"/>
      <c r="H84" s="76">
        <f>Source!AC41</f>
        <v>2.94</v>
      </c>
      <c r="I84" s="76">
        <f>T84</f>
        <v>11.76</v>
      </c>
      <c r="J84" s="127">
        <v>7.5</v>
      </c>
      <c r="K84" s="77">
        <f>U84</f>
        <v>88.2</v>
      </c>
      <c r="O84" s="20"/>
      <c r="P84" s="20"/>
      <c r="Q84" s="20"/>
      <c r="R84" s="20"/>
      <c r="S84" s="20"/>
      <c r="T84" s="20">
        <f>ROUND(Source!AC41*Source!AW41*Source!I41,2)</f>
        <v>11.76</v>
      </c>
      <c r="U84" s="20">
        <f>Source!P41</f>
        <v>88.2</v>
      </c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>
        <f>T84</f>
        <v>11.76</v>
      </c>
      <c r="GK84" s="20"/>
      <c r="GL84" s="20"/>
      <c r="GM84" s="20"/>
      <c r="GN84" s="20">
        <f>T84</f>
        <v>11.76</v>
      </c>
      <c r="GO84" s="20"/>
      <c r="GP84" s="20">
        <f>T84</f>
        <v>11.76</v>
      </c>
      <c r="GQ84" s="20">
        <f>T84</f>
        <v>11.76</v>
      </c>
      <c r="GR84" s="20"/>
      <c r="GS84" s="20">
        <f>T84</f>
        <v>11.76</v>
      </c>
      <c r="GT84" s="20"/>
      <c r="GU84" s="20"/>
      <c r="GV84" s="20"/>
      <c r="GW84" s="20">
        <f>ROUND(Source!AG41*Source!I41,2)</f>
        <v>0</v>
      </c>
      <c r="GX84" s="20">
        <f>ROUND(Source!AJ41*Source!I41,2)</f>
        <v>0</v>
      </c>
      <c r="GY84" s="20"/>
      <c r="GZ84" s="20"/>
      <c r="HA84" s="20"/>
      <c r="HB84" s="20">
        <f>T84</f>
        <v>11.76</v>
      </c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</row>
    <row r="85" spans="1:255" ht="13.5" thickBot="1" x14ac:dyDescent="0.25">
      <c r="A85" s="128"/>
      <c r="B85" s="129" t="s">
        <v>300</v>
      </c>
      <c r="C85" s="129" t="s">
        <v>306</v>
      </c>
      <c r="D85" s="130"/>
      <c r="E85" s="130"/>
      <c r="F85" s="130"/>
      <c r="G85" s="130"/>
      <c r="H85" s="130"/>
      <c r="I85" s="130"/>
      <c r="J85" s="130"/>
      <c r="K85" s="131"/>
    </row>
    <row r="86" spans="1:255" x14ac:dyDescent="0.2">
      <c r="A86" s="64"/>
      <c r="B86" s="63"/>
      <c r="C86" s="63"/>
      <c r="D86" s="63"/>
      <c r="E86" s="63"/>
      <c r="F86" s="63"/>
      <c r="G86" s="63"/>
      <c r="H86" s="174">
        <f>R86</f>
        <v>11.76</v>
      </c>
      <c r="I86" s="175"/>
      <c r="J86" s="174">
        <f>S86</f>
        <v>88.2</v>
      </c>
      <c r="K86" s="176"/>
      <c r="O86" s="20"/>
      <c r="P86" s="20"/>
      <c r="Q86" s="20"/>
      <c r="R86" s="20">
        <f>SUM(T84:T85)</f>
        <v>11.76</v>
      </c>
      <c r="S86" s="20">
        <f>SUM(U84:U85)</f>
        <v>88.2</v>
      </c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>
        <f>R86</f>
        <v>11.76</v>
      </c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</row>
    <row r="87" spans="1:255" x14ac:dyDescent="0.2">
      <c r="A87" s="72">
        <v>10</v>
      </c>
      <c r="B87" s="78" t="s">
        <v>38</v>
      </c>
      <c r="C87" s="73" t="s">
        <v>61</v>
      </c>
      <c r="D87" s="74" t="s">
        <v>62</v>
      </c>
      <c r="E87" s="75">
        <v>11.5</v>
      </c>
      <c r="F87" s="76">
        <v>6.07</v>
      </c>
      <c r="G87" s="127"/>
      <c r="H87" s="76">
        <f>Source!AC43</f>
        <v>6.07</v>
      </c>
      <c r="I87" s="76">
        <f>T87</f>
        <v>69.81</v>
      </c>
      <c r="J87" s="127">
        <v>7.5</v>
      </c>
      <c r="K87" s="77">
        <f>U87</f>
        <v>523.54</v>
      </c>
      <c r="O87" s="20"/>
      <c r="P87" s="20"/>
      <c r="Q87" s="20"/>
      <c r="R87" s="20"/>
      <c r="S87" s="20"/>
      <c r="T87" s="20">
        <f>ROUND(Source!AC43*Source!AW43*Source!I43,2)</f>
        <v>69.81</v>
      </c>
      <c r="U87" s="20">
        <f>Source!P43</f>
        <v>523.54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>
        <f>T87</f>
        <v>69.81</v>
      </c>
      <c r="GK87" s="20"/>
      <c r="GL87" s="20"/>
      <c r="GM87" s="20"/>
      <c r="GN87" s="20">
        <f>T87</f>
        <v>69.81</v>
      </c>
      <c r="GO87" s="20"/>
      <c r="GP87" s="20">
        <f>T87</f>
        <v>69.81</v>
      </c>
      <c r="GQ87" s="20">
        <f>T87</f>
        <v>69.81</v>
      </c>
      <c r="GR87" s="20"/>
      <c r="GS87" s="20">
        <f>T87</f>
        <v>69.81</v>
      </c>
      <c r="GT87" s="20"/>
      <c r="GU87" s="20"/>
      <c r="GV87" s="20"/>
      <c r="GW87" s="20">
        <f>ROUND(Source!AG43*Source!I43,2)</f>
        <v>0</v>
      </c>
      <c r="GX87" s="20">
        <f>ROUND(Source!AJ43*Source!I43,2)</f>
        <v>0</v>
      </c>
      <c r="GY87" s="20"/>
      <c r="GZ87" s="20"/>
      <c r="HA87" s="20"/>
      <c r="HB87" s="20">
        <f>T87</f>
        <v>69.81</v>
      </c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</row>
    <row r="88" spans="1:255" ht="13.5" thickBot="1" x14ac:dyDescent="0.25">
      <c r="A88" s="128"/>
      <c r="B88" s="129" t="s">
        <v>300</v>
      </c>
      <c r="C88" s="129" t="s">
        <v>307</v>
      </c>
      <c r="D88" s="130"/>
      <c r="E88" s="130"/>
      <c r="F88" s="130"/>
      <c r="G88" s="130"/>
      <c r="H88" s="130"/>
      <c r="I88" s="130"/>
      <c r="J88" s="130"/>
      <c r="K88" s="131"/>
    </row>
    <row r="89" spans="1:255" x14ac:dyDescent="0.2">
      <c r="A89" s="64"/>
      <c r="B89" s="63"/>
      <c r="C89" s="63"/>
      <c r="D89" s="63"/>
      <c r="E89" s="63"/>
      <c r="F89" s="63"/>
      <c r="G89" s="63"/>
      <c r="H89" s="174">
        <f>R89</f>
        <v>69.81</v>
      </c>
      <c r="I89" s="175"/>
      <c r="J89" s="174">
        <f>S89</f>
        <v>523.54</v>
      </c>
      <c r="K89" s="176"/>
      <c r="O89" s="20"/>
      <c r="P89" s="20"/>
      <c r="Q89" s="20"/>
      <c r="R89" s="20">
        <f>SUM(T87:T88)</f>
        <v>69.81</v>
      </c>
      <c r="S89" s="20">
        <f>SUM(U87:U88)</f>
        <v>523.54</v>
      </c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>
        <f>R89</f>
        <v>69.81</v>
      </c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  <c r="IT89" s="20"/>
      <c r="IU89" s="20"/>
    </row>
    <row r="90" spans="1:255" x14ac:dyDescent="0.2">
      <c r="A90" s="72">
        <v>11</v>
      </c>
      <c r="B90" s="78" t="s">
        <v>38</v>
      </c>
      <c r="C90" s="73" t="s">
        <v>65</v>
      </c>
      <c r="D90" s="74" t="s">
        <v>62</v>
      </c>
      <c r="E90" s="75">
        <v>0.3</v>
      </c>
      <c r="F90" s="76">
        <v>35.14</v>
      </c>
      <c r="G90" s="127"/>
      <c r="H90" s="76">
        <f>Source!AC45</f>
        <v>35.14</v>
      </c>
      <c r="I90" s="76">
        <f>T90</f>
        <v>10.54</v>
      </c>
      <c r="J90" s="127">
        <v>7.5</v>
      </c>
      <c r="K90" s="77">
        <f>U90</f>
        <v>79.069999999999993</v>
      </c>
      <c r="O90" s="20"/>
      <c r="P90" s="20"/>
      <c r="Q90" s="20"/>
      <c r="R90" s="20"/>
      <c r="S90" s="20"/>
      <c r="T90" s="20">
        <f>ROUND(Source!AC45*Source!AW45*Source!I45,2)</f>
        <v>10.54</v>
      </c>
      <c r="U90" s="20">
        <f>Source!P45</f>
        <v>79.069999999999993</v>
      </c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>
        <f>T90</f>
        <v>10.54</v>
      </c>
      <c r="GK90" s="20"/>
      <c r="GL90" s="20"/>
      <c r="GM90" s="20"/>
      <c r="GN90" s="20">
        <f>T90</f>
        <v>10.54</v>
      </c>
      <c r="GO90" s="20"/>
      <c r="GP90" s="20">
        <f>T90</f>
        <v>10.54</v>
      </c>
      <c r="GQ90" s="20">
        <f>T90</f>
        <v>10.54</v>
      </c>
      <c r="GR90" s="20"/>
      <c r="GS90" s="20">
        <f>T90</f>
        <v>10.54</v>
      </c>
      <c r="GT90" s="20"/>
      <c r="GU90" s="20"/>
      <c r="GV90" s="20"/>
      <c r="GW90" s="20">
        <f>ROUND(Source!AG45*Source!I45,2)</f>
        <v>0</v>
      </c>
      <c r="GX90" s="20">
        <f>ROUND(Source!AJ45*Source!I45,2)</f>
        <v>0</v>
      </c>
      <c r="GY90" s="20"/>
      <c r="GZ90" s="20"/>
      <c r="HA90" s="20"/>
      <c r="HB90" s="20">
        <f>T90</f>
        <v>10.54</v>
      </c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  <c r="IT90" s="20"/>
      <c r="IU90" s="20"/>
    </row>
    <row r="91" spans="1:255" ht="13.5" thickBot="1" x14ac:dyDescent="0.25">
      <c r="A91" s="128"/>
      <c r="B91" s="129" t="s">
        <v>300</v>
      </c>
      <c r="C91" s="129" t="s">
        <v>308</v>
      </c>
      <c r="D91" s="130"/>
      <c r="E91" s="130"/>
      <c r="F91" s="130"/>
      <c r="G91" s="130"/>
      <c r="H91" s="130"/>
      <c r="I91" s="130"/>
      <c r="J91" s="130"/>
      <c r="K91" s="131"/>
    </row>
    <row r="92" spans="1:255" x14ac:dyDescent="0.2">
      <c r="A92" s="64"/>
      <c r="B92" s="63"/>
      <c r="C92" s="63"/>
      <c r="D92" s="63"/>
      <c r="E92" s="63"/>
      <c r="F92" s="63"/>
      <c r="G92" s="63"/>
      <c r="H92" s="174">
        <f>R92</f>
        <v>10.54</v>
      </c>
      <c r="I92" s="175"/>
      <c r="J92" s="174">
        <f>S92</f>
        <v>79.069999999999993</v>
      </c>
      <c r="K92" s="176"/>
      <c r="O92" s="20"/>
      <c r="P92" s="20"/>
      <c r="Q92" s="20"/>
      <c r="R92" s="20">
        <f>SUM(T90:T91)</f>
        <v>10.54</v>
      </c>
      <c r="S92" s="20">
        <f>SUM(U90:U91)</f>
        <v>79.069999999999993</v>
      </c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>
        <f>R92</f>
        <v>10.54</v>
      </c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  <c r="IT92" s="20"/>
      <c r="IU92" s="20"/>
    </row>
    <row r="93" spans="1:255" x14ac:dyDescent="0.2">
      <c r="A93" s="72">
        <v>12</v>
      </c>
      <c r="B93" s="78" t="s">
        <v>38</v>
      </c>
      <c r="C93" s="73" t="s">
        <v>68</v>
      </c>
      <c r="D93" s="74" t="s">
        <v>62</v>
      </c>
      <c r="E93" s="75">
        <v>0.3</v>
      </c>
      <c r="F93" s="76">
        <v>29.61</v>
      </c>
      <c r="G93" s="127"/>
      <c r="H93" s="76">
        <f>Source!AC47</f>
        <v>29.61</v>
      </c>
      <c r="I93" s="76">
        <f>T93</f>
        <v>8.8800000000000008</v>
      </c>
      <c r="J93" s="127">
        <v>7.5</v>
      </c>
      <c r="K93" s="77">
        <f>U93</f>
        <v>66.62</v>
      </c>
      <c r="O93" s="20"/>
      <c r="P93" s="20"/>
      <c r="Q93" s="20"/>
      <c r="R93" s="20"/>
      <c r="S93" s="20"/>
      <c r="T93" s="20">
        <f>ROUND(Source!AC47*Source!AW47*Source!I47,2)</f>
        <v>8.8800000000000008</v>
      </c>
      <c r="U93" s="20">
        <f>Source!P47</f>
        <v>66.62</v>
      </c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>
        <f>T93</f>
        <v>8.8800000000000008</v>
      </c>
      <c r="GK93" s="20"/>
      <c r="GL93" s="20"/>
      <c r="GM93" s="20"/>
      <c r="GN93" s="20">
        <f>T93</f>
        <v>8.8800000000000008</v>
      </c>
      <c r="GO93" s="20"/>
      <c r="GP93" s="20">
        <f>T93</f>
        <v>8.8800000000000008</v>
      </c>
      <c r="GQ93" s="20">
        <f>T93</f>
        <v>8.8800000000000008</v>
      </c>
      <c r="GR93" s="20"/>
      <c r="GS93" s="20">
        <f>T93</f>
        <v>8.8800000000000008</v>
      </c>
      <c r="GT93" s="20"/>
      <c r="GU93" s="20"/>
      <c r="GV93" s="20"/>
      <c r="GW93" s="20">
        <f>ROUND(Source!AG47*Source!I47,2)</f>
        <v>0</v>
      </c>
      <c r="GX93" s="20">
        <f>ROUND(Source!AJ47*Source!I47,2)</f>
        <v>0</v>
      </c>
      <c r="GY93" s="20"/>
      <c r="GZ93" s="20"/>
      <c r="HA93" s="20"/>
      <c r="HB93" s="20">
        <f>T93</f>
        <v>8.8800000000000008</v>
      </c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  <c r="IT93" s="20"/>
      <c r="IU93" s="20"/>
    </row>
    <row r="94" spans="1:255" ht="13.5" thickBot="1" x14ac:dyDescent="0.25">
      <c r="A94" s="128"/>
      <c r="B94" s="129" t="s">
        <v>300</v>
      </c>
      <c r="C94" s="129" t="s">
        <v>309</v>
      </c>
      <c r="D94" s="130"/>
      <c r="E94" s="130"/>
      <c r="F94" s="130"/>
      <c r="G94" s="130"/>
      <c r="H94" s="130"/>
      <c r="I94" s="130"/>
      <c r="J94" s="130"/>
      <c r="K94" s="131"/>
    </row>
    <row r="95" spans="1:255" x14ac:dyDescent="0.2">
      <c r="A95" s="64"/>
      <c r="B95" s="63"/>
      <c r="C95" s="63"/>
      <c r="D95" s="63"/>
      <c r="E95" s="63"/>
      <c r="F95" s="63"/>
      <c r="G95" s="63"/>
      <c r="H95" s="174">
        <f>R95</f>
        <v>8.8800000000000008</v>
      </c>
      <c r="I95" s="175"/>
      <c r="J95" s="174">
        <f>S95</f>
        <v>66.62</v>
      </c>
      <c r="K95" s="176"/>
      <c r="O95" s="20"/>
      <c r="P95" s="20"/>
      <c r="Q95" s="20"/>
      <c r="R95" s="20">
        <f>SUM(T93:T94)</f>
        <v>8.8800000000000008</v>
      </c>
      <c r="S95" s="20">
        <f>SUM(U93:U94)</f>
        <v>66.62</v>
      </c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>
        <f>R95</f>
        <v>8.8800000000000008</v>
      </c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  <c r="IT95" s="20"/>
      <c r="IU95" s="20"/>
    </row>
    <row r="96" spans="1:255" ht="24" x14ac:dyDescent="0.2">
      <c r="A96" s="72">
        <v>13</v>
      </c>
      <c r="B96" s="78" t="s">
        <v>38</v>
      </c>
      <c r="C96" s="73" t="s">
        <v>71</v>
      </c>
      <c r="D96" s="74" t="s">
        <v>41</v>
      </c>
      <c r="E96" s="75">
        <v>1</v>
      </c>
      <c r="F96" s="76">
        <v>16.45</v>
      </c>
      <c r="G96" s="127"/>
      <c r="H96" s="76">
        <f>Source!AC49</f>
        <v>16.45</v>
      </c>
      <c r="I96" s="76">
        <f>T96</f>
        <v>16.45</v>
      </c>
      <c r="J96" s="127">
        <v>7.5</v>
      </c>
      <c r="K96" s="77">
        <f>U96</f>
        <v>123.38</v>
      </c>
      <c r="O96" s="20"/>
      <c r="P96" s="20"/>
      <c r="Q96" s="20"/>
      <c r="R96" s="20"/>
      <c r="S96" s="20"/>
      <c r="T96" s="20">
        <f>ROUND(Source!AC49*Source!AW49*Source!I49,2)</f>
        <v>16.45</v>
      </c>
      <c r="U96" s="20">
        <f>Source!P49</f>
        <v>123.38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>
        <f>T96</f>
        <v>16.45</v>
      </c>
      <c r="GK96" s="20"/>
      <c r="GL96" s="20"/>
      <c r="GM96" s="20"/>
      <c r="GN96" s="20">
        <f>T96</f>
        <v>16.45</v>
      </c>
      <c r="GO96" s="20"/>
      <c r="GP96" s="20">
        <f>T96</f>
        <v>16.45</v>
      </c>
      <c r="GQ96" s="20">
        <f>T96</f>
        <v>16.45</v>
      </c>
      <c r="GR96" s="20"/>
      <c r="GS96" s="20">
        <f>T96</f>
        <v>16.45</v>
      </c>
      <c r="GT96" s="20"/>
      <c r="GU96" s="20"/>
      <c r="GV96" s="20"/>
      <c r="GW96" s="20">
        <f>ROUND(Source!AG49*Source!I49,2)</f>
        <v>0</v>
      </c>
      <c r="GX96" s="20">
        <f>ROUND(Source!AJ49*Source!I49,2)</f>
        <v>0</v>
      </c>
      <c r="GY96" s="20"/>
      <c r="GZ96" s="20"/>
      <c r="HA96" s="20"/>
      <c r="HB96" s="20">
        <f>T96</f>
        <v>16.45</v>
      </c>
      <c r="HC96" s="20"/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  <c r="IT96" s="20"/>
      <c r="IU96" s="20"/>
    </row>
    <row r="97" spans="1:255" ht="13.5" thickBot="1" x14ac:dyDescent="0.25">
      <c r="A97" s="128"/>
      <c r="B97" s="129" t="s">
        <v>300</v>
      </c>
      <c r="C97" s="129" t="s">
        <v>310</v>
      </c>
      <c r="D97" s="130"/>
      <c r="E97" s="130"/>
      <c r="F97" s="130"/>
      <c r="G97" s="130"/>
      <c r="H97" s="130"/>
      <c r="I97" s="130"/>
      <c r="J97" s="130"/>
      <c r="K97" s="131"/>
    </row>
    <row r="98" spans="1:255" ht="13.5" thickBot="1" x14ac:dyDescent="0.25">
      <c r="A98" s="64"/>
      <c r="B98" s="63"/>
      <c r="C98" s="63"/>
      <c r="D98" s="63"/>
      <c r="E98" s="63"/>
      <c r="F98" s="63"/>
      <c r="G98" s="63"/>
      <c r="H98" s="174">
        <f>R98</f>
        <v>16.45</v>
      </c>
      <c r="I98" s="175"/>
      <c r="J98" s="174">
        <f>S98</f>
        <v>123.38</v>
      </c>
      <c r="K98" s="176"/>
      <c r="O98" s="20"/>
      <c r="P98" s="20"/>
      <c r="Q98" s="20"/>
      <c r="R98" s="20">
        <f>SUM(T96:T97)</f>
        <v>16.45</v>
      </c>
      <c r="S98" s="20">
        <f>SUM(U96:U97)</f>
        <v>123.38</v>
      </c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>
        <f>R98</f>
        <v>16.45</v>
      </c>
      <c r="HB98" s="20"/>
      <c r="HC98" s="20"/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  <c r="IS98" s="20"/>
      <c r="IT98" s="20"/>
      <c r="IU98" s="20"/>
    </row>
    <row r="99" spans="1:255" x14ac:dyDescent="0.2">
      <c r="A99" s="132"/>
      <c r="B99" s="132"/>
      <c r="C99" s="79" t="s">
        <v>311</v>
      </c>
      <c r="D99" s="79"/>
      <c r="E99" s="79"/>
      <c r="F99" s="79"/>
      <c r="G99" s="79"/>
      <c r="H99" s="177">
        <f>FM99</f>
        <v>27875.660000000003</v>
      </c>
      <c r="I99" s="177"/>
      <c r="J99" s="177">
        <f>DP99</f>
        <v>217835.4</v>
      </c>
      <c r="K99" s="177"/>
      <c r="P99" s="20">
        <f>SUM(R46:R98)</f>
        <v>27875.660000000003</v>
      </c>
      <c r="Q99" s="20">
        <f>SUM(S46:S98)</f>
        <v>217835.40000000002</v>
      </c>
      <c r="R99" s="20"/>
      <c r="S99" s="20"/>
      <c r="T99" s="20"/>
      <c r="U99" s="20"/>
      <c r="V99" s="20"/>
      <c r="W99" s="20"/>
      <c r="X99" s="20"/>
      <c r="Y99" s="20">
        <v>513</v>
      </c>
      <c r="Z99" s="20" t="s">
        <v>312</v>
      </c>
      <c r="AA99" s="20"/>
      <c r="AB99" s="20" t="s">
        <v>265</v>
      </c>
      <c r="AC99" s="20" t="str">
        <f>Source!G51</f>
        <v>Новая локальная смета</v>
      </c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>
        <f>Source!DM51</f>
        <v>35.17</v>
      </c>
      <c r="CX99" s="20">
        <f>Source!DN51</f>
        <v>1.42</v>
      </c>
      <c r="CY99" s="20">
        <f>Source!DG51</f>
        <v>209896.22</v>
      </c>
      <c r="CZ99" s="20">
        <f>Source!DK51</f>
        <v>7177.82</v>
      </c>
      <c r="DA99" s="20">
        <f>Source!DI51</f>
        <v>1281.8800000000001</v>
      </c>
      <c r="DB99" s="20">
        <f>Source!DJ51</f>
        <v>228.56</v>
      </c>
      <c r="DC99" s="20">
        <f>Source!DH51</f>
        <v>201436.52</v>
      </c>
      <c r="DD99" s="20">
        <f>Source!EG51</f>
        <v>0</v>
      </c>
      <c r="DE99" s="20">
        <f>Source!EN51</f>
        <v>201436.52</v>
      </c>
      <c r="DF99" s="20">
        <f>Source!EO51</f>
        <v>201436.52</v>
      </c>
      <c r="DG99" s="20">
        <f>Source!EP51</f>
        <v>0</v>
      </c>
      <c r="DH99" s="20">
        <f>Source!EQ51</f>
        <v>201436.52</v>
      </c>
      <c r="DI99" s="20">
        <f>Source!EH51</f>
        <v>0</v>
      </c>
      <c r="DJ99" s="20">
        <f>Source!EI51</f>
        <v>0</v>
      </c>
      <c r="DK99" s="20">
        <f>Source!ER51</f>
        <v>0</v>
      </c>
      <c r="DL99" s="20">
        <f>Source!DL51</f>
        <v>0</v>
      </c>
      <c r="DM99" s="20">
        <f>Source!DO51</f>
        <v>0</v>
      </c>
      <c r="DN99" s="20">
        <f>Source!DP51</f>
        <v>4918.8599999999997</v>
      </c>
      <c r="DO99" s="20">
        <f>Source!DQ51</f>
        <v>3020.32</v>
      </c>
      <c r="DP99" s="20">
        <f>Source!EJ51</f>
        <v>217835.4</v>
      </c>
      <c r="DQ99" s="20">
        <f>Source!EK51</f>
        <v>201436.44</v>
      </c>
      <c r="DR99" s="20">
        <f>Source!EL51</f>
        <v>8629.07</v>
      </c>
      <c r="DS99" s="20">
        <f>Source!EH51</f>
        <v>0</v>
      </c>
      <c r="DT99" s="20">
        <f>Source!EM51</f>
        <v>7769.89</v>
      </c>
      <c r="DU99" s="20">
        <f>Source!EK51+Source!EL51</f>
        <v>210065.51</v>
      </c>
      <c r="DV99" s="20"/>
      <c r="DW99" s="20">
        <f>Source!ES51</f>
        <v>0</v>
      </c>
      <c r="DX99" s="20">
        <f>Source!ET51</f>
        <v>0</v>
      </c>
      <c r="DY99" s="20">
        <f>Source!EU51</f>
        <v>0</v>
      </c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>
        <f>Source!DM51</f>
        <v>35.17</v>
      </c>
      <c r="EU99" s="20">
        <f>Source!DN51</f>
        <v>1.42</v>
      </c>
      <c r="EV99" s="20">
        <f t="shared" ref="EV99:FQ99" si="0">SUM(GJ46:GJ98)</f>
        <v>27352.980000000003</v>
      </c>
      <c r="EW99" s="20">
        <f t="shared" si="0"/>
        <v>392.23</v>
      </c>
      <c r="EX99" s="20">
        <f t="shared" si="0"/>
        <v>102.55</v>
      </c>
      <c r="EY99" s="20">
        <f t="shared" si="0"/>
        <v>12.49</v>
      </c>
      <c r="EZ99" s="20">
        <f t="shared" si="0"/>
        <v>26858.2</v>
      </c>
      <c r="FA99" s="20">
        <f t="shared" si="0"/>
        <v>0</v>
      </c>
      <c r="FB99" s="20">
        <f t="shared" si="0"/>
        <v>26858.2</v>
      </c>
      <c r="FC99" s="20">
        <f t="shared" si="0"/>
        <v>26858.2</v>
      </c>
      <c r="FD99" s="20">
        <f t="shared" si="0"/>
        <v>0</v>
      </c>
      <c r="FE99" s="20">
        <f t="shared" si="0"/>
        <v>26858.2</v>
      </c>
      <c r="FF99" s="20">
        <f t="shared" si="0"/>
        <v>0</v>
      </c>
      <c r="FG99" s="20">
        <f t="shared" si="0"/>
        <v>0</v>
      </c>
      <c r="FH99" s="20">
        <f t="shared" si="0"/>
        <v>0</v>
      </c>
      <c r="FI99" s="20">
        <f t="shared" si="0"/>
        <v>0</v>
      </c>
      <c r="FJ99" s="20">
        <f t="shared" si="0"/>
        <v>0</v>
      </c>
      <c r="FK99" s="20">
        <f t="shared" si="0"/>
        <v>316.37</v>
      </c>
      <c r="FL99" s="20">
        <f t="shared" si="0"/>
        <v>206.31</v>
      </c>
      <c r="FM99" s="20">
        <f t="shared" si="0"/>
        <v>27875.660000000003</v>
      </c>
      <c r="FN99" s="20">
        <f t="shared" si="0"/>
        <v>26858.190000000002</v>
      </c>
      <c r="FO99" s="20">
        <f t="shared" si="0"/>
        <v>552.02</v>
      </c>
      <c r="FP99" s="20">
        <f t="shared" si="0"/>
        <v>0</v>
      </c>
      <c r="FQ99" s="20">
        <f t="shared" si="0"/>
        <v>465.45</v>
      </c>
      <c r="FR99" s="20">
        <f>FN99+FO99</f>
        <v>27410.210000000003</v>
      </c>
      <c r="FS99" s="20">
        <f>SUM(HG46:HG98)</f>
        <v>0</v>
      </c>
      <c r="FT99" s="20">
        <f>SUM(HH46:HH98)</f>
        <v>0</v>
      </c>
      <c r="FU99" s="20">
        <f>SUM(HI46:HI98)</f>
        <v>0</v>
      </c>
      <c r="FV99" s="20">
        <f>SUM(HJ46:HJ98)</f>
        <v>0</v>
      </c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  <c r="IQ99" s="20"/>
      <c r="IR99" s="20"/>
      <c r="IS99" s="20"/>
      <c r="IT99" s="20"/>
      <c r="IU99" s="20"/>
    </row>
    <row r="100" spans="1:255" x14ac:dyDescent="0.2">
      <c r="A100" s="118"/>
      <c r="B100" s="118"/>
      <c r="C100" s="118"/>
      <c r="D100" s="118"/>
      <c r="E100" s="118"/>
      <c r="F100" s="118"/>
      <c r="G100" s="118"/>
      <c r="H100" s="173"/>
      <c r="I100" s="173"/>
      <c r="J100" s="173"/>
      <c r="K100" s="173"/>
    </row>
    <row r="101" spans="1:255" x14ac:dyDescent="0.2">
      <c r="A101" s="118"/>
      <c r="B101" s="118"/>
      <c r="C101" s="21" t="s">
        <v>74</v>
      </c>
      <c r="D101" s="21"/>
      <c r="E101" s="21"/>
      <c r="F101" s="21"/>
      <c r="G101" s="21"/>
      <c r="H101" s="169">
        <f>EV99</f>
        <v>27352.980000000003</v>
      </c>
      <c r="I101" s="169"/>
      <c r="J101" s="169">
        <f>CY99</f>
        <v>209896.22</v>
      </c>
      <c r="K101" s="170"/>
    </row>
    <row r="102" spans="1:255" x14ac:dyDescent="0.2">
      <c r="A102" s="118"/>
      <c r="B102" s="118"/>
      <c r="C102" s="21" t="s">
        <v>315</v>
      </c>
      <c r="D102" s="21"/>
      <c r="E102" s="21"/>
      <c r="F102" s="21"/>
      <c r="G102" s="21"/>
      <c r="H102" s="172"/>
      <c r="I102" s="172"/>
      <c r="J102" s="172"/>
      <c r="K102" s="173"/>
    </row>
    <row r="103" spans="1:255" x14ac:dyDescent="0.2">
      <c r="A103" s="118"/>
      <c r="B103" s="118"/>
      <c r="C103" s="21" t="s">
        <v>316</v>
      </c>
      <c r="D103" s="21"/>
      <c r="E103" s="21"/>
      <c r="F103" s="21"/>
      <c r="G103" s="21"/>
      <c r="H103" s="169">
        <f>EW99</f>
        <v>392.23</v>
      </c>
      <c r="I103" s="169"/>
      <c r="J103" s="169">
        <f>CZ99</f>
        <v>7177.82</v>
      </c>
      <c r="K103" s="170"/>
    </row>
    <row r="104" spans="1:255" x14ac:dyDescent="0.2">
      <c r="A104" s="118"/>
      <c r="B104" s="118"/>
      <c r="C104" s="21" t="s">
        <v>317</v>
      </c>
      <c r="D104" s="21"/>
      <c r="E104" s="21"/>
      <c r="F104" s="21"/>
      <c r="G104" s="21"/>
      <c r="H104" s="169">
        <f>EX99</f>
        <v>102.55</v>
      </c>
      <c r="I104" s="169"/>
      <c r="J104" s="169">
        <f>DA99</f>
        <v>1281.8800000000001</v>
      </c>
      <c r="K104" s="170"/>
    </row>
    <row r="105" spans="1:255" x14ac:dyDescent="0.2">
      <c r="A105" s="118"/>
      <c r="B105" s="118"/>
      <c r="C105" s="21" t="s">
        <v>318</v>
      </c>
      <c r="D105" s="21"/>
      <c r="E105" s="21"/>
      <c r="F105" s="21"/>
      <c r="G105" s="21"/>
      <c r="H105" s="169">
        <f>EZ99</f>
        <v>26858.2</v>
      </c>
      <c r="I105" s="169"/>
      <c r="J105" s="169">
        <f>DC99</f>
        <v>201436.52</v>
      </c>
      <c r="K105" s="170"/>
    </row>
    <row r="106" spans="1:255" x14ac:dyDescent="0.2">
      <c r="A106" s="118"/>
      <c r="B106" s="118"/>
      <c r="C106" s="21"/>
      <c r="D106" s="21"/>
      <c r="E106" s="21"/>
      <c r="F106" s="21"/>
      <c r="G106" s="21"/>
      <c r="H106" s="172"/>
      <c r="I106" s="172"/>
      <c r="J106" s="172"/>
      <c r="K106" s="173"/>
    </row>
    <row r="107" spans="1:255" x14ac:dyDescent="0.2">
      <c r="A107" s="118"/>
      <c r="B107" s="118"/>
      <c r="C107" s="21" t="s">
        <v>319</v>
      </c>
      <c r="D107" s="21"/>
      <c r="E107" s="21"/>
      <c r="F107" s="21"/>
      <c r="G107" s="21"/>
      <c r="H107" s="169">
        <f>FK99</f>
        <v>316.37</v>
      </c>
      <c r="I107" s="169"/>
      <c r="J107" s="169">
        <f>DN99</f>
        <v>4918.8599999999997</v>
      </c>
      <c r="K107" s="170"/>
    </row>
    <row r="108" spans="1:255" x14ac:dyDescent="0.2">
      <c r="A108" s="118"/>
      <c r="B108" s="118"/>
      <c r="C108" s="21" t="s">
        <v>320</v>
      </c>
      <c r="D108" s="21"/>
      <c r="E108" s="21"/>
      <c r="F108" s="21"/>
      <c r="G108" s="21"/>
      <c r="H108" s="169">
        <f>FL99</f>
        <v>206.31</v>
      </c>
      <c r="I108" s="169"/>
      <c r="J108" s="169">
        <f>DO99</f>
        <v>3020.32</v>
      </c>
      <c r="K108" s="170"/>
    </row>
    <row r="109" spans="1:255" x14ac:dyDescent="0.2">
      <c r="A109" s="118"/>
      <c r="B109" s="118"/>
      <c r="C109" s="21" t="s">
        <v>321</v>
      </c>
      <c r="D109" s="21"/>
      <c r="E109" s="21"/>
      <c r="F109" s="21"/>
      <c r="G109" s="21"/>
      <c r="H109" s="169">
        <f>FM99</f>
        <v>27875.660000000003</v>
      </c>
      <c r="I109" s="169"/>
      <c r="J109" s="169">
        <f>DP99</f>
        <v>217835.4</v>
      </c>
      <c r="K109" s="170"/>
    </row>
    <row r="110" spans="1:255" x14ac:dyDescent="0.2">
      <c r="A110" s="118"/>
      <c r="B110" s="118"/>
      <c r="C110" s="21" t="s">
        <v>322</v>
      </c>
      <c r="D110" s="21"/>
      <c r="E110" s="21"/>
      <c r="F110" s="21"/>
      <c r="G110" s="21"/>
      <c r="H110" s="172"/>
      <c r="I110" s="172"/>
      <c r="J110" s="172"/>
      <c r="K110" s="173"/>
    </row>
    <row r="111" spans="1:255" x14ac:dyDescent="0.2">
      <c r="A111" s="118"/>
      <c r="B111" s="118"/>
      <c r="C111" s="21" t="s">
        <v>323</v>
      </c>
      <c r="D111" s="21"/>
      <c r="E111" s="21"/>
      <c r="F111" s="21"/>
      <c r="G111" s="21"/>
      <c r="H111" s="169">
        <f>FN99</f>
        <v>26858.190000000002</v>
      </c>
      <c r="I111" s="169"/>
      <c r="J111" s="169">
        <f>DQ99</f>
        <v>201436.44</v>
      </c>
      <c r="K111" s="170"/>
    </row>
    <row r="112" spans="1:255" x14ac:dyDescent="0.2">
      <c r="A112" s="118"/>
      <c r="B112" s="118"/>
      <c r="C112" s="21" t="s">
        <v>324</v>
      </c>
      <c r="D112" s="21"/>
      <c r="E112" s="21"/>
      <c r="F112" s="21"/>
      <c r="G112" s="21"/>
      <c r="H112" s="169">
        <f>FO99</f>
        <v>552.02</v>
      </c>
      <c r="I112" s="169"/>
      <c r="J112" s="169">
        <f>DR99</f>
        <v>8629.07</v>
      </c>
      <c r="K112" s="170"/>
    </row>
    <row r="113" spans="1:255" hidden="1" x14ac:dyDescent="0.2">
      <c r="A113" s="118"/>
      <c r="B113" s="118"/>
      <c r="C113" s="21" t="s">
        <v>325</v>
      </c>
      <c r="D113" s="21"/>
      <c r="E113" s="21"/>
      <c r="F113" s="21"/>
      <c r="G113" s="21"/>
      <c r="H113" s="169">
        <f>FP99</f>
        <v>0</v>
      </c>
      <c r="I113" s="169"/>
      <c r="J113" s="169">
        <f>DS99</f>
        <v>0</v>
      </c>
      <c r="K113" s="170"/>
    </row>
    <row r="114" spans="1:255" x14ac:dyDescent="0.2">
      <c r="A114" s="118"/>
      <c r="B114" s="118"/>
      <c r="C114" s="21" t="s">
        <v>326</v>
      </c>
      <c r="D114" s="21"/>
      <c r="E114" s="21"/>
      <c r="F114" s="21"/>
      <c r="G114" s="21"/>
      <c r="H114" s="169">
        <f>FQ99</f>
        <v>465.45</v>
      </c>
      <c r="I114" s="169"/>
      <c r="J114" s="169">
        <f>DT99</f>
        <v>7769.89</v>
      </c>
      <c r="K114" s="170"/>
    </row>
    <row r="115" spans="1:255" x14ac:dyDescent="0.2">
      <c r="A115" s="118"/>
      <c r="B115" s="118"/>
      <c r="C115" s="21"/>
      <c r="D115" s="21"/>
      <c r="E115" s="21"/>
      <c r="F115" s="21"/>
      <c r="G115" s="21"/>
      <c r="H115" s="172"/>
      <c r="I115" s="172"/>
      <c r="J115" s="172"/>
      <c r="K115" s="173"/>
    </row>
    <row r="116" spans="1:255" x14ac:dyDescent="0.2">
      <c r="A116" s="118"/>
      <c r="B116" s="118"/>
      <c r="C116" s="21" t="s">
        <v>327</v>
      </c>
      <c r="D116" s="21"/>
      <c r="E116" s="21"/>
      <c r="F116" s="21"/>
      <c r="G116" s="21"/>
      <c r="H116" s="169">
        <f>H109</f>
        <v>27875.660000000003</v>
      </c>
      <c r="I116" s="169"/>
      <c r="J116" s="169">
        <f>J109</f>
        <v>217835.4</v>
      </c>
      <c r="K116" s="170"/>
    </row>
    <row r="117" spans="1:255" hidden="1" x14ac:dyDescent="0.2">
      <c r="A117" s="118"/>
      <c r="B117" s="118"/>
      <c r="C117" s="21" t="s">
        <v>328</v>
      </c>
      <c r="D117" s="21"/>
      <c r="E117" s="80">
        <v>18</v>
      </c>
      <c r="F117" s="81" t="s">
        <v>291</v>
      </c>
      <c r="G117" s="21"/>
      <c r="H117" s="21"/>
      <c r="I117" s="21"/>
      <c r="J117" s="169">
        <f>ROUND(J116*E117/100,2)</f>
        <v>39210.370000000003</v>
      </c>
      <c r="K117" s="171"/>
    </row>
    <row r="118" spans="1:255" hidden="1" x14ac:dyDescent="0.2">
      <c r="A118" s="118"/>
      <c r="B118" s="118"/>
      <c r="C118" s="21" t="s">
        <v>329</v>
      </c>
      <c r="D118" s="21"/>
      <c r="E118" s="21"/>
      <c r="F118" s="21"/>
      <c r="G118" s="21"/>
      <c r="H118" s="21"/>
      <c r="I118" s="21"/>
      <c r="J118" s="169">
        <f>J117+J116</f>
        <v>257045.77</v>
      </c>
      <c r="K118" s="170"/>
    </row>
    <row r="119" spans="1:255" x14ac:dyDescent="0.2">
      <c r="A119" s="118"/>
      <c r="B119" s="118"/>
      <c r="C119" s="21"/>
      <c r="D119" s="21"/>
      <c r="E119" s="21"/>
      <c r="F119" s="21"/>
      <c r="G119" s="21"/>
      <c r="H119" s="21"/>
      <c r="I119" s="21"/>
      <c r="J119" s="172"/>
      <c r="K119" s="173"/>
    </row>
    <row r="120" spans="1:255" hidden="1" outlineLevel="1" x14ac:dyDescent="0.2">
      <c r="A120" s="118"/>
      <c r="B120" s="118"/>
      <c r="C120" s="21"/>
      <c r="D120" s="21"/>
      <c r="E120" s="21"/>
      <c r="F120" s="21"/>
      <c r="G120" s="21"/>
      <c r="H120" s="21"/>
      <c r="I120" s="21"/>
      <c r="J120" s="21"/>
      <c r="K120" s="118"/>
    </row>
    <row r="121" spans="1:255" hidden="1" outlineLevel="1" x14ac:dyDescent="0.2">
      <c r="A121" s="118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</row>
    <row r="122" spans="1:255" hidden="1" outlineLevel="1" x14ac:dyDescent="0.2">
      <c r="A122" s="82" t="s">
        <v>330</v>
      </c>
      <c r="B122" s="82"/>
      <c r="C122" s="135"/>
      <c r="D122" s="135"/>
      <c r="E122" s="135"/>
      <c r="F122" s="135"/>
      <c r="G122" s="83"/>
      <c r="H122" s="83"/>
      <c r="I122" s="135"/>
      <c r="J122" s="135"/>
      <c r="K122" s="118"/>
      <c r="BY122" s="84">
        <f>C122</f>
        <v>0</v>
      </c>
      <c r="BZ122" s="84">
        <f>I122</f>
        <v>0</v>
      </c>
      <c r="IU122" s="20"/>
    </row>
    <row r="123" spans="1:255" s="86" customFormat="1" ht="11.25" hidden="1" outlineLevel="1" x14ac:dyDescent="0.2">
      <c r="A123" s="85"/>
      <c r="B123" s="85"/>
      <c r="C123" s="136" t="s">
        <v>331</v>
      </c>
      <c r="D123" s="136"/>
      <c r="E123" s="136"/>
      <c r="F123" s="136"/>
      <c r="G123" s="136"/>
      <c r="H123" s="136"/>
      <c r="I123" s="136" t="s">
        <v>332</v>
      </c>
      <c r="J123" s="136"/>
    </row>
    <row r="124" spans="1:255" hidden="1" outlineLevel="1" x14ac:dyDescent="0.2">
      <c r="A124" s="133"/>
      <c r="B124" s="133"/>
      <c r="C124" s="133"/>
      <c r="D124" s="133"/>
      <c r="E124" s="133"/>
      <c r="F124" s="133"/>
      <c r="G124" s="134" t="s">
        <v>333</v>
      </c>
      <c r="H124" s="133"/>
      <c r="I124" s="133"/>
      <c r="J124" s="133"/>
      <c r="K124" s="118"/>
    </row>
    <row r="125" spans="1:255" hidden="1" outlineLevel="1" x14ac:dyDescent="0.2">
      <c r="A125" s="82" t="s">
        <v>334</v>
      </c>
      <c r="B125" s="82"/>
      <c r="C125" s="135"/>
      <c r="D125" s="135"/>
      <c r="E125" s="135"/>
      <c r="F125" s="135"/>
      <c r="G125" s="83"/>
      <c r="H125" s="83"/>
      <c r="I125" s="135"/>
      <c r="J125" s="135"/>
      <c r="K125" s="118"/>
      <c r="BY125" s="84">
        <f>C125</f>
        <v>0</v>
      </c>
      <c r="BZ125" s="84">
        <f>I125</f>
        <v>0</v>
      </c>
      <c r="IU125" s="20"/>
    </row>
    <row r="126" spans="1:255" s="86" customFormat="1" ht="11.25" hidden="1" outlineLevel="1" x14ac:dyDescent="0.2">
      <c r="A126" s="85"/>
      <c r="B126" s="85"/>
      <c r="C126" s="136" t="s">
        <v>331</v>
      </c>
      <c r="D126" s="136"/>
      <c r="E126" s="136"/>
      <c r="F126" s="136"/>
      <c r="G126" s="136"/>
      <c r="H126" s="136"/>
      <c r="I126" s="136" t="s">
        <v>332</v>
      </c>
      <c r="J126" s="136"/>
    </row>
    <row r="127" spans="1:255" hidden="1" outlineLevel="1" x14ac:dyDescent="0.2">
      <c r="A127" s="133"/>
      <c r="B127" s="133"/>
      <c r="C127" s="133"/>
      <c r="D127" s="133"/>
      <c r="E127" s="133"/>
      <c r="F127" s="133"/>
      <c r="G127" s="134" t="s">
        <v>333</v>
      </c>
      <c r="H127" s="133"/>
      <c r="I127" s="133"/>
      <c r="J127" s="133"/>
      <c r="K127" s="118"/>
    </row>
    <row r="128" spans="1:255" collapsed="1" x14ac:dyDescent="0.2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</row>
    <row r="129" spans="1:255" outlineLevel="1" x14ac:dyDescent="0.2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</row>
    <row r="130" spans="1:255" outlineLevel="1" x14ac:dyDescent="0.2">
      <c r="A130" s="118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</row>
    <row r="131" spans="1:255" outlineLevel="1" x14ac:dyDescent="0.2">
      <c r="A131" s="82" t="s">
        <v>238</v>
      </c>
      <c r="B131" s="82"/>
      <c r="C131" s="135"/>
      <c r="D131" s="135"/>
      <c r="E131" s="135"/>
      <c r="F131" s="135"/>
      <c r="G131" s="83"/>
      <c r="H131" s="83"/>
      <c r="I131" s="135"/>
      <c r="J131" s="135"/>
      <c r="K131" s="118"/>
      <c r="BY131" s="84">
        <f>C131</f>
        <v>0</v>
      </c>
      <c r="BZ131" s="84">
        <f>I131</f>
        <v>0</v>
      </c>
      <c r="IU131" s="20"/>
    </row>
    <row r="132" spans="1:255" s="86" customFormat="1" ht="11.25" outlineLevel="1" x14ac:dyDescent="0.2">
      <c r="A132" s="85"/>
      <c r="B132" s="85"/>
      <c r="C132" s="136" t="s">
        <v>331</v>
      </c>
      <c r="D132" s="136"/>
      <c r="E132" s="136"/>
      <c r="F132" s="136"/>
      <c r="G132" s="136"/>
      <c r="H132" s="136"/>
      <c r="I132" s="136" t="s">
        <v>332</v>
      </c>
      <c r="J132" s="136"/>
    </row>
    <row r="133" spans="1:255" outlineLevel="1" x14ac:dyDescent="0.2">
      <c r="A133" s="133"/>
      <c r="B133" s="133"/>
      <c r="C133" s="133"/>
      <c r="D133" s="133"/>
      <c r="E133" s="133"/>
      <c r="F133" s="133"/>
      <c r="G133" s="134" t="s">
        <v>333</v>
      </c>
      <c r="H133" s="133"/>
      <c r="I133" s="133"/>
      <c r="J133" s="133"/>
      <c r="K133" s="118"/>
    </row>
    <row r="134" spans="1:255" outlineLevel="1" x14ac:dyDescent="0.2">
      <c r="A134" s="82" t="s">
        <v>361</v>
      </c>
      <c r="B134" s="82"/>
      <c r="C134" s="135"/>
      <c r="D134" s="135"/>
      <c r="E134" s="135"/>
      <c r="F134" s="135"/>
      <c r="G134" s="83"/>
      <c r="H134" s="83"/>
      <c r="I134" s="135"/>
      <c r="J134" s="135"/>
      <c r="K134" s="118"/>
      <c r="BY134" s="84">
        <f>C134</f>
        <v>0</v>
      </c>
      <c r="BZ134" s="84">
        <f>I134</f>
        <v>0</v>
      </c>
      <c r="IU134" s="20"/>
    </row>
    <row r="135" spans="1:255" s="86" customFormat="1" ht="11.25" outlineLevel="1" x14ac:dyDescent="0.2">
      <c r="A135" s="85"/>
      <c r="B135" s="85"/>
      <c r="C135" s="136" t="s">
        <v>331</v>
      </c>
      <c r="D135" s="136"/>
      <c r="E135" s="136"/>
      <c r="F135" s="136"/>
      <c r="G135" s="136"/>
      <c r="H135" s="136"/>
      <c r="I135" s="136" t="s">
        <v>332</v>
      </c>
      <c r="J135" s="136"/>
    </row>
    <row r="136" spans="1:255" outlineLevel="1" x14ac:dyDescent="0.2">
      <c r="A136" s="133"/>
      <c r="B136" s="133"/>
      <c r="C136" s="133"/>
      <c r="D136" s="133"/>
      <c r="E136" s="133"/>
      <c r="F136" s="133"/>
      <c r="G136" s="134" t="s">
        <v>333</v>
      </c>
      <c r="H136" s="133"/>
      <c r="I136" s="133"/>
      <c r="J136" s="133"/>
      <c r="K136" s="118"/>
    </row>
    <row r="137" spans="1:255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</row>
    <row r="138" spans="1:255" x14ac:dyDescent="0.2">
      <c r="Y138" s="20">
        <v>999</v>
      </c>
      <c r="Z138" s="20" t="s">
        <v>335</v>
      </c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  <c r="IK138" s="20"/>
      <c r="IL138" s="20"/>
      <c r="IM138" s="20"/>
      <c r="IN138" s="20"/>
      <c r="IO138" s="20"/>
      <c r="IP138" s="20"/>
      <c r="IQ138" s="20"/>
      <c r="IR138" s="20"/>
      <c r="IS138" s="20"/>
      <c r="IT138" s="20"/>
      <c r="IU138" s="20"/>
    </row>
  </sheetData>
  <mergeCells count="129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53:I53"/>
    <mergeCell ref="J53:K53"/>
    <mergeCell ref="H59:I59"/>
    <mergeCell ref="J59:K59"/>
    <mergeCell ref="H68:I68"/>
    <mergeCell ref="J68:K68"/>
    <mergeCell ref="F41:F44"/>
    <mergeCell ref="G41:G44"/>
    <mergeCell ref="H41:H44"/>
    <mergeCell ref="I41:I44"/>
    <mergeCell ref="J41:J44"/>
    <mergeCell ref="K41:K44"/>
    <mergeCell ref="H80:I80"/>
    <mergeCell ref="J80:K80"/>
    <mergeCell ref="H83:I83"/>
    <mergeCell ref="J83:K83"/>
    <mergeCell ref="H86:I86"/>
    <mergeCell ref="J86:K86"/>
    <mergeCell ref="H71:I71"/>
    <mergeCell ref="J71:K71"/>
    <mergeCell ref="H74:I74"/>
    <mergeCell ref="J74:K74"/>
    <mergeCell ref="H77:I77"/>
    <mergeCell ref="J77:K77"/>
    <mergeCell ref="H98:I98"/>
    <mergeCell ref="J98:K98"/>
    <mergeCell ref="H99:I99"/>
    <mergeCell ref="J99:K99"/>
    <mergeCell ref="H100:I100"/>
    <mergeCell ref="J100:K100"/>
    <mergeCell ref="H89:I89"/>
    <mergeCell ref="J89:K89"/>
    <mergeCell ref="H92:I92"/>
    <mergeCell ref="J92:K92"/>
    <mergeCell ref="H95:I95"/>
    <mergeCell ref="J95:K95"/>
    <mergeCell ref="H104:I104"/>
    <mergeCell ref="J104:K104"/>
    <mergeCell ref="H105:I105"/>
    <mergeCell ref="J105:K105"/>
    <mergeCell ref="H106:I106"/>
    <mergeCell ref="J106:K106"/>
    <mergeCell ref="H101:I101"/>
    <mergeCell ref="J101:K101"/>
    <mergeCell ref="H102:I102"/>
    <mergeCell ref="J102:K102"/>
    <mergeCell ref="H103:I103"/>
    <mergeCell ref="J103:K103"/>
    <mergeCell ref="H110:I110"/>
    <mergeCell ref="J110:K110"/>
    <mergeCell ref="H111:I111"/>
    <mergeCell ref="J111:K111"/>
    <mergeCell ref="H112:I112"/>
    <mergeCell ref="J112:K112"/>
    <mergeCell ref="H107:I107"/>
    <mergeCell ref="J107:K107"/>
    <mergeCell ref="H108:I108"/>
    <mergeCell ref="J108:K108"/>
    <mergeCell ref="H109:I109"/>
    <mergeCell ref="J109:K109"/>
    <mergeCell ref="H116:I116"/>
    <mergeCell ref="J116:K116"/>
    <mergeCell ref="J117:K117"/>
    <mergeCell ref="J118:K118"/>
    <mergeCell ref="J119:K119"/>
    <mergeCell ref="C122:F122"/>
    <mergeCell ref="I122:J122"/>
    <mergeCell ref="H113:I113"/>
    <mergeCell ref="J113:K113"/>
    <mergeCell ref="H114:I114"/>
    <mergeCell ref="J114:K114"/>
    <mergeCell ref="H115:I115"/>
    <mergeCell ref="J115:K115"/>
    <mergeCell ref="C135:H135"/>
    <mergeCell ref="I135:J135"/>
    <mergeCell ref="C131:F131"/>
    <mergeCell ref="I131:J131"/>
    <mergeCell ref="C132:H132"/>
    <mergeCell ref="I132:J132"/>
    <mergeCell ref="C134:F134"/>
    <mergeCell ref="I134:J134"/>
    <mergeCell ref="C123:H123"/>
    <mergeCell ref="I123:J123"/>
    <mergeCell ref="C125:F125"/>
    <mergeCell ref="I125:J125"/>
    <mergeCell ref="C126:H126"/>
    <mergeCell ref="I126:J126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49"/>
  <sheetViews>
    <sheetView workbookViewId="0">
      <selection activeCell="A145" sqref="A145:AH145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228</v>
      </c>
    </row>
    <row r="6" spans="1:133" x14ac:dyDescent="0.2">
      <c r="G6">
        <v>10</v>
      </c>
      <c r="H6" t="s">
        <v>224</v>
      </c>
    </row>
    <row r="7" spans="1:133" x14ac:dyDescent="0.2">
      <c r="G7">
        <v>2</v>
      </c>
      <c r="H7" t="s">
        <v>225</v>
      </c>
    </row>
    <row r="8" spans="1:133" x14ac:dyDescent="0.2">
      <c r="G8">
        <f>IF((Source!AR51&lt;&gt;'1.Смета.или.Акт'!P99),0,1)</f>
        <v>1</v>
      </c>
      <c r="H8" t="s">
        <v>313</v>
      </c>
    </row>
    <row r="9" spans="1:133" x14ac:dyDescent="0.2">
      <c r="G9" s="12" t="s">
        <v>226</v>
      </c>
      <c r="H9" t="s">
        <v>227</v>
      </c>
    </row>
    <row r="12" spans="1:133" x14ac:dyDescent="0.2">
      <c r="A12" s="1">
        <v>1</v>
      </c>
      <c r="B12" s="1">
        <v>143</v>
      </c>
      <c r="C12" s="1">
        <v>0</v>
      </c>
      <c r="D12" s="1">
        <f>ROW(A80)</f>
        <v>80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B80</f>
        <v>143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'Новые цены'Техническое перевооружение ТП,РП. Замена МВ на ВВ</v>
      </c>
      <c r="H18" s="3"/>
      <c r="I18" s="3"/>
      <c r="J18" s="3"/>
      <c r="K18" s="3"/>
      <c r="L18" s="3"/>
      <c r="M18" s="3"/>
      <c r="N18" s="3"/>
      <c r="O18" s="3">
        <f t="shared" ref="O18:AT18" si="1">O80</f>
        <v>27352.98</v>
      </c>
      <c r="P18" s="3">
        <f t="shared" si="1"/>
        <v>26858.2</v>
      </c>
      <c r="Q18" s="3">
        <f t="shared" si="1"/>
        <v>102.55</v>
      </c>
      <c r="R18" s="3">
        <f t="shared" si="1"/>
        <v>12.49</v>
      </c>
      <c r="S18" s="3">
        <f t="shared" si="1"/>
        <v>392.23</v>
      </c>
      <c r="T18" s="3">
        <f t="shared" si="1"/>
        <v>0</v>
      </c>
      <c r="U18" s="3">
        <f t="shared" si="1"/>
        <v>35.17</v>
      </c>
      <c r="V18" s="3">
        <f t="shared" si="1"/>
        <v>1.42</v>
      </c>
      <c r="W18" s="3">
        <f t="shared" si="1"/>
        <v>0</v>
      </c>
      <c r="X18" s="3">
        <f t="shared" si="1"/>
        <v>316.37</v>
      </c>
      <c r="Y18" s="3">
        <f t="shared" si="1"/>
        <v>206.31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27875.66</v>
      </c>
      <c r="AS18" s="3">
        <f t="shared" si="1"/>
        <v>26858.19</v>
      </c>
      <c r="AT18" s="3">
        <f t="shared" si="1"/>
        <v>552.02</v>
      </c>
      <c r="AU18" s="3">
        <f t="shared" ref="AU18:BZ18" si="2">AU80</f>
        <v>465.45</v>
      </c>
      <c r="AV18" s="3">
        <f t="shared" si="2"/>
        <v>26858.2</v>
      </c>
      <c r="AW18" s="3">
        <f t="shared" si="2"/>
        <v>26858.2</v>
      </c>
      <c r="AX18" s="3">
        <f t="shared" si="2"/>
        <v>0</v>
      </c>
      <c r="AY18" s="3">
        <f t="shared" si="2"/>
        <v>26858.2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CA80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DG80</f>
        <v>209896.22</v>
      </c>
      <c r="DH18" s="4">
        <f t="shared" si="4"/>
        <v>201436.52</v>
      </c>
      <c r="DI18" s="4">
        <f t="shared" si="4"/>
        <v>1281.8800000000001</v>
      </c>
      <c r="DJ18" s="4">
        <f t="shared" si="4"/>
        <v>228.56</v>
      </c>
      <c r="DK18" s="4">
        <f t="shared" si="4"/>
        <v>7177.82</v>
      </c>
      <c r="DL18" s="4">
        <f t="shared" si="4"/>
        <v>0</v>
      </c>
      <c r="DM18" s="4">
        <f t="shared" si="4"/>
        <v>35.17</v>
      </c>
      <c r="DN18" s="4">
        <f t="shared" si="4"/>
        <v>1.42</v>
      </c>
      <c r="DO18" s="4">
        <f t="shared" si="4"/>
        <v>0</v>
      </c>
      <c r="DP18" s="4">
        <f t="shared" si="4"/>
        <v>4918.8599999999997</v>
      </c>
      <c r="DQ18" s="4">
        <f t="shared" si="4"/>
        <v>3020.32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217835.4</v>
      </c>
      <c r="EK18" s="4">
        <f t="shared" si="4"/>
        <v>201436.44</v>
      </c>
      <c r="EL18" s="4">
        <f t="shared" si="4"/>
        <v>8629.07</v>
      </c>
      <c r="EM18" s="4">
        <f t="shared" ref="EM18:FR18" si="5">EM80</f>
        <v>7769.89</v>
      </c>
      <c r="EN18" s="4">
        <f t="shared" si="5"/>
        <v>201436.52</v>
      </c>
      <c r="EO18" s="4">
        <f t="shared" si="5"/>
        <v>201436.52</v>
      </c>
      <c r="EP18" s="4">
        <f t="shared" si="5"/>
        <v>0</v>
      </c>
      <c r="EQ18" s="4">
        <f t="shared" si="5"/>
        <v>201436.52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FS80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ROW(A51)</f>
        <v>51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B51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O51</f>
        <v>27352.98</v>
      </c>
      <c r="P22" s="3">
        <f t="shared" si="8"/>
        <v>26858.2</v>
      </c>
      <c r="Q22" s="3">
        <f t="shared" si="8"/>
        <v>102.55</v>
      </c>
      <c r="R22" s="3">
        <f t="shared" si="8"/>
        <v>12.49</v>
      </c>
      <c r="S22" s="3">
        <f t="shared" si="8"/>
        <v>392.23</v>
      </c>
      <c r="T22" s="3">
        <f t="shared" si="8"/>
        <v>0</v>
      </c>
      <c r="U22" s="3">
        <f t="shared" si="8"/>
        <v>35.17</v>
      </c>
      <c r="V22" s="3">
        <f t="shared" si="8"/>
        <v>1.42</v>
      </c>
      <c r="W22" s="3">
        <f t="shared" si="8"/>
        <v>0</v>
      </c>
      <c r="X22" s="3">
        <f t="shared" si="8"/>
        <v>316.37</v>
      </c>
      <c r="Y22" s="3">
        <f t="shared" si="8"/>
        <v>206.31</v>
      </c>
      <c r="Z22" s="3">
        <f t="shared" si="8"/>
        <v>0</v>
      </c>
      <c r="AA22" s="3">
        <f t="shared" si="8"/>
        <v>0</v>
      </c>
      <c r="AB22" s="3">
        <f t="shared" si="8"/>
        <v>27352.98</v>
      </c>
      <c r="AC22" s="3">
        <f t="shared" si="8"/>
        <v>26858.2</v>
      </c>
      <c r="AD22" s="3">
        <f t="shared" si="8"/>
        <v>102.55</v>
      </c>
      <c r="AE22" s="3">
        <f t="shared" si="8"/>
        <v>12.49</v>
      </c>
      <c r="AF22" s="3">
        <f t="shared" si="8"/>
        <v>392.23</v>
      </c>
      <c r="AG22" s="3">
        <f t="shared" si="8"/>
        <v>0</v>
      </c>
      <c r="AH22" s="3">
        <f t="shared" si="8"/>
        <v>35.17</v>
      </c>
      <c r="AI22" s="3">
        <f t="shared" si="8"/>
        <v>1.42</v>
      </c>
      <c r="AJ22" s="3">
        <f t="shared" si="8"/>
        <v>0</v>
      </c>
      <c r="AK22" s="3">
        <f t="shared" si="8"/>
        <v>316.37</v>
      </c>
      <c r="AL22" s="3">
        <f t="shared" si="8"/>
        <v>206.31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27875.66</v>
      </c>
      <c r="AS22" s="3">
        <f t="shared" si="8"/>
        <v>26858.19</v>
      </c>
      <c r="AT22" s="3">
        <f t="shared" si="8"/>
        <v>552.02</v>
      </c>
      <c r="AU22" s="3">
        <f t="shared" ref="AU22:BZ22" si="9">AU51</f>
        <v>465.45</v>
      </c>
      <c r="AV22" s="3">
        <f t="shared" si="9"/>
        <v>26858.2</v>
      </c>
      <c r="AW22" s="3">
        <f t="shared" si="9"/>
        <v>26858.2</v>
      </c>
      <c r="AX22" s="3">
        <f t="shared" si="9"/>
        <v>0</v>
      </c>
      <c r="AY22" s="3">
        <f t="shared" si="9"/>
        <v>26858.2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CA51</f>
        <v>27875.66</v>
      </c>
      <c r="CB22" s="3">
        <f t="shared" si="10"/>
        <v>26858.19</v>
      </c>
      <c r="CC22" s="3">
        <f t="shared" si="10"/>
        <v>552.02</v>
      </c>
      <c r="CD22" s="3">
        <f t="shared" si="10"/>
        <v>465.45</v>
      </c>
      <c r="CE22" s="3">
        <f t="shared" si="10"/>
        <v>26858.2</v>
      </c>
      <c r="CF22" s="3">
        <f t="shared" si="10"/>
        <v>26858.2</v>
      </c>
      <c r="CG22" s="3">
        <f t="shared" si="10"/>
        <v>0</v>
      </c>
      <c r="CH22" s="3">
        <f t="shared" si="10"/>
        <v>26858.2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DG51</f>
        <v>209896.22</v>
      </c>
      <c r="DH22" s="4">
        <f t="shared" si="11"/>
        <v>201436.52</v>
      </c>
      <c r="DI22" s="4">
        <f t="shared" si="11"/>
        <v>1281.8800000000001</v>
      </c>
      <c r="DJ22" s="4">
        <f t="shared" si="11"/>
        <v>228.56</v>
      </c>
      <c r="DK22" s="4">
        <f t="shared" si="11"/>
        <v>7177.82</v>
      </c>
      <c r="DL22" s="4">
        <f t="shared" si="11"/>
        <v>0</v>
      </c>
      <c r="DM22" s="4">
        <f t="shared" si="11"/>
        <v>35.17</v>
      </c>
      <c r="DN22" s="4">
        <f t="shared" si="11"/>
        <v>1.42</v>
      </c>
      <c r="DO22" s="4">
        <f t="shared" si="11"/>
        <v>0</v>
      </c>
      <c r="DP22" s="4">
        <f t="shared" si="11"/>
        <v>4918.8599999999997</v>
      </c>
      <c r="DQ22" s="4">
        <f t="shared" si="11"/>
        <v>3020.32</v>
      </c>
      <c r="DR22" s="4">
        <f t="shared" si="11"/>
        <v>0</v>
      </c>
      <c r="DS22" s="4">
        <f t="shared" si="11"/>
        <v>0</v>
      </c>
      <c r="DT22" s="4">
        <f t="shared" si="11"/>
        <v>209896.22</v>
      </c>
      <c r="DU22" s="4">
        <f t="shared" si="11"/>
        <v>201436.52</v>
      </c>
      <c r="DV22" s="4">
        <f t="shared" si="11"/>
        <v>1281.8800000000001</v>
      </c>
      <c r="DW22" s="4">
        <f t="shared" si="11"/>
        <v>228.56</v>
      </c>
      <c r="DX22" s="4">
        <f t="shared" si="11"/>
        <v>7177.82</v>
      </c>
      <c r="DY22" s="4">
        <f t="shared" si="11"/>
        <v>0</v>
      </c>
      <c r="DZ22" s="4">
        <f t="shared" si="11"/>
        <v>35.17</v>
      </c>
      <c r="EA22" s="4">
        <f t="shared" si="11"/>
        <v>1.42</v>
      </c>
      <c r="EB22" s="4">
        <f t="shared" si="11"/>
        <v>0</v>
      </c>
      <c r="EC22" s="4">
        <f t="shared" si="11"/>
        <v>4918.8599999999997</v>
      </c>
      <c r="ED22" s="4">
        <f t="shared" si="11"/>
        <v>3020.32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217835.4</v>
      </c>
      <c r="EK22" s="4">
        <f t="shared" si="11"/>
        <v>201436.44</v>
      </c>
      <c r="EL22" s="4">
        <f t="shared" si="11"/>
        <v>8629.07</v>
      </c>
      <c r="EM22" s="4">
        <f t="shared" ref="EM22:FR22" si="12">EM51</f>
        <v>7769.89</v>
      </c>
      <c r="EN22" s="4">
        <f t="shared" si="12"/>
        <v>201436.52</v>
      </c>
      <c r="EO22" s="4">
        <f t="shared" si="12"/>
        <v>201436.52</v>
      </c>
      <c r="EP22" s="4">
        <f t="shared" si="12"/>
        <v>0</v>
      </c>
      <c r="EQ22" s="4">
        <f t="shared" si="12"/>
        <v>201436.52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FS51</f>
        <v>217835.4</v>
      </c>
      <c r="FT22" s="4">
        <f t="shared" si="13"/>
        <v>201436.44</v>
      </c>
      <c r="FU22" s="4">
        <f t="shared" si="13"/>
        <v>8629.07</v>
      </c>
      <c r="FV22" s="4">
        <f t="shared" si="13"/>
        <v>7769.89</v>
      </c>
      <c r="FW22" s="4">
        <f t="shared" si="13"/>
        <v>201436.52</v>
      </c>
      <c r="FX22" s="4">
        <f t="shared" si="13"/>
        <v>201436.52</v>
      </c>
      <c r="FY22" s="4">
        <f t="shared" si="13"/>
        <v>0</v>
      </c>
      <c r="FZ22" s="4">
        <f t="shared" si="13"/>
        <v>201436.52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ROW(SmtRes!A5)</f>
        <v>5</v>
      </c>
      <c r="D24" s="2">
        <f>ROW(EtalonRes!A9)</f>
        <v>9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1</v>
      </c>
      <c r="J24" s="2">
        <v>0</v>
      </c>
      <c r="K24" s="2"/>
      <c r="L24" s="2"/>
      <c r="M24" s="2"/>
      <c r="N24" s="2"/>
      <c r="O24" s="2">
        <f t="shared" ref="O24:O49" si="14">ROUND(CP24,2)</f>
        <v>105.62</v>
      </c>
      <c r="P24" s="2">
        <f t="shared" ref="P24:P49" si="15">ROUND(CQ24*I24,2)</f>
        <v>0</v>
      </c>
      <c r="Q24" s="2">
        <f t="shared" ref="Q24:Q49" si="16">ROUND(CR24*I24,2)</f>
        <v>59.73</v>
      </c>
      <c r="R24" s="2">
        <f t="shared" ref="R24:R49" si="17">ROUND(CS24*I24,2)</f>
        <v>7.48</v>
      </c>
      <c r="S24" s="2">
        <f t="shared" ref="S24:S49" si="18">ROUND(CT24*I24,2)</f>
        <v>45.89</v>
      </c>
      <c r="T24" s="2">
        <f t="shared" ref="T24:T49" si="19">ROUND(CU24*I24,2)</f>
        <v>0</v>
      </c>
      <c r="U24" s="2">
        <f t="shared" ref="U24:U49" si="20">CV24*I24</f>
        <v>4.7699999999999996</v>
      </c>
      <c r="V24" s="2">
        <f t="shared" ref="V24:V49" si="21">CW24*I24</f>
        <v>1.01</v>
      </c>
      <c r="W24" s="2">
        <f t="shared" ref="W24:W49" si="22">ROUND(CX24*I24,2)</f>
        <v>0</v>
      </c>
      <c r="X24" s="2">
        <f t="shared" ref="X24:X49" si="23">ROUND(CY24,2)</f>
        <v>50.7</v>
      </c>
      <c r="Y24" s="2">
        <f t="shared" ref="Y24:Y49" si="24">ROUND(CZ24,2)</f>
        <v>34.69</v>
      </c>
      <c r="Z24" s="2"/>
      <c r="AA24" s="2">
        <v>34687670</v>
      </c>
      <c r="AB24" s="2">
        <f t="shared" ref="AB24:AB49" si="25">ROUND((AC24+AD24+AF24),2)</f>
        <v>105.62</v>
      </c>
      <c r="AC24" s="2">
        <f>ROUND(((ES24*0)),2)</f>
        <v>0</v>
      </c>
      <c r="AD24" s="2">
        <f>ROUND(((((ET24*0.6))-((EU24*0.6)))+AE24),2)</f>
        <v>59.73</v>
      </c>
      <c r="AE24" s="2">
        <f>ROUND(((EU24*0.6)),2)</f>
        <v>7.48</v>
      </c>
      <c r="AF24" s="2">
        <f>ROUND(((EV24*0.6)),2)</f>
        <v>45.89</v>
      </c>
      <c r="AG24" s="2">
        <f t="shared" ref="AG24:AG49" si="26">ROUND((AP24),2)</f>
        <v>0</v>
      </c>
      <c r="AH24" s="2">
        <f>((EW24*0.6))</f>
        <v>4.7699999999999996</v>
      </c>
      <c r="AI24" s="2">
        <f>((EX24*0.6)+(SUM(SmtRes!BH1:'SmtRes'!BH5)+SUM(EtalonRes!AQ1:'EtalonRes'!AQ9)))</f>
        <v>1.01</v>
      </c>
      <c r="AJ24" s="2">
        <f t="shared" ref="AJ24:AJ49" si="27">ROUND((AS24),2)</f>
        <v>0</v>
      </c>
      <c r="AK24" s="2">
        <v>204.77</v>
      </c>
      <c r="AL24" s="2">
        <v>28.75</v>
      </c>
      <c r="AM24" s="2">
        <v>99.54</v>
      </c>
      <c r="AN24" s="2">
        <v>12.46</v>
      </c>
      <c r="AO24" s="2">
        <v>76.48</v>
      </c>
      <c r="AP24" s="2">
        <v>0</v>
      </c>
      <c r="AQ24" s="2">
        <v>7.95</v>
      </c>
      <c r="AR24" s="2">
        <v>1.01</v>
      </c>
      <c r="AS24" s="2">
        <v>0</v>
      </c>
      <c r="AT24" s="2">
        <v>95</v>
      </c>
      <c r="AU24" s="2">
        <v>65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2</v>
      </c>
      <c r="BJ24" s="2" t="s">
        <v>16</v>
      </c>
      <c r="BK24" s="2"/>
      <c r="BL24" s="2"/>
      <c r="BM24" s="2">
        <v>108001</v>
      </c>
      <c r="BN24" s="2">
        <v>0</v>
      </c>
      <c r="BO24" s="2" t="s">
        <v>3</v>
      </c>
      <c r="BP24" s="2">
        <v>0</v>
      </c>
      <c r="BQ24" s="2">
        <v>2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65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17</v>
      </c>
      <c r="CO24" s="2">
        <v>0</v>
      </c>
      <c r="CP24" s="2">
        <f t="shared" ref="CP24:CP49" si="28">(P24+Q24+S24)</f>
        <v>105.62</v>
      </c>
      <c r="CQ24" s="2">
        <f t="shared" ref="CQ24:CQ49" si="29">AC24*BC24</f>
        <v>0</v>
      </c>
      <c r="CR24" s="2">
        <f t="shared" ref="CR24:CR49" si="30">AD24*BB24</f>
        <v>59.73</v>
      </c>
      <c r="CS24" s="2">
        <f t="shared" ref="CS24:CS49" si="31">AE24*BS24</f>
        <v>7.48</v>
      </c>
      <c r="CT24" s="2">
        <f t="shared" ref="CT24:CT49" si="32">AF24*BA24</f>
        <v>45.89</v>
      </c>
      <c r="CU24" s="2">
        <f t="shared" ref="CU24:CU49" si="33">AG24</f>
        <v>0</v>
      </c>
      <c r="CV24" s="2">
        <f t="shared" ref="CV24:CV49" si="34">AH24</f>
        <v>4.7699999999999996</v>
      </c>
      <c r="CW24" s="2">
        <f t="shared" ref="CW24:CW49" si="35">AI24</f>
        <v>1.01</v>
      </c>
      <c r="CX24" s="2">
        <f t="shared" ref="CX24:CX49" si="36">AJ24</f>
        <v>0</v>
      </c>
      <c r="CY24" s="2">
        <f t="shared" ref="CY24:CY49" si="37">(((S24+(R24*IF(0,0,1)))*AT24)/100)</f>
        <v>50.701500000000003</v>
      </c>
      <c r="CZ24" s="2">
        <f t="shared" ref="CZ24:CZ49" si="38">(((S24+(R24*IF(0,0,1)))*AU24)/100)</f>
        <v>34.6905</v>
      </c>
      <c r="DA24" s="2"/>
      <c r="DB24" s="2"/>
      <c r="DC24" s="2" t="s">
        <v>3</v>
      </c>
      <c r="DD24" s="2" t="s">
        <v>18</v>
      </c>
      <c r="DE24" s="2" t="s">
        <v>19</v>
      </c>
      <c r="DF24" s="2" t="s">
        <v>19</v>
      </c>
      <c r="DG24" s="2" t="s">
        <v>19</v>
      </c>
      <c r="DH24" s="2" t="s">
        <v>3</v>
      </c>
      <c r="DI24" s="2" t="s">
        <v>19</v>
      </c>
      <c r="DJ24" s="2" t="s">
        <v>19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15</v>
      </c>
      <c r="DW24" s="2" t="s">
        <v>15</v>
      </c>
      <c r="DX24" s="2">
        <v>1</v>
      </c>
      <c r="DY24" s="2"/>
      <c r="DZ24" s="2"/>
      <c r="EA24" s="2"/>
      <c r="EB24" s="2"/>
      <c r="EC24" s="2"/>
      <c r="ED24" s="2"/>
      <c r="EE24" s="2">
        <v>32653241</v>
      </c>
      <c r="EF24" s="2">
        <v>2</v>
      </c>
      <c r="EG24" s="2" t="s">
        <v>20</v>
      </c>
      <c r="EH24" s="2">
        <v>0</v>
      </c>
      <c r="EI24" s="2" t="s">
        <v>3</v>
      </c>
      <c r="EJ24" s="2">
        <v>2</v>
      </c>
      <c r="EK24" s="2">
        <v>108001</v>
      </c>
      <c r="EL24" s="2" t="s">
        <v>21</v>
      </c>
      <c r="EM24" s="2" t="s">
        <v>22</v>
      </c>
      <c r="EN24" s="2"/>
      <c r="EO24" s="2" t="s">
        <v>23</v>
      </c>
      <c r="EP24" s="2"/>
      <c r="EQ24" s="2">
        <v>0</v>
      </c>
      <c r="ER24" s="2">
        <v>204.77</v>
      </c>
      <c r="ES24" s="2">
        <v>28.75</v>
      </c>
      <c r="ET24" s="2">
        <v>99.54</v>
      </c>
      <c r="EU24" s="2">
        <v>12.46</v>
      </c>
      <c r="EV24" s="2">
        <v>76.48</v>
      </c>
      <c r="EW24" s="2">
        <v>7.95</v>
      </c>
      <c r="EX24" s="2">
        <v>1.01</v>
      </c>
      <c r="EY24" s="2">
        <v>1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49" si="39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65</v>
      </c>
      <c r="FZ24" s="2"/>
      <c r="GA24" s="2" t="s">
        <v>3</v>
      </c>
      <c r="GB24" s="2"/>
      <c r="GC24" s="2"/>
      <c r="GD24" s="2">
        <v>0</v>
      </c>
      <c r="GE24" s="2"/>
      <c r="GF24" s="2">
        <v>204030540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49" si="40">ROUND(IF(AND(BH24=3,BI24=3,FS24&lt;&gt;0),P24,0),2)</f>
        <v>0</v>
      </c>
      <c r="GM24" s="2">
        <f t="shared" ref="GM24:GM49" si="41">ROUND(O24+X24+Y24+GK24,2)+GX24</f>
        <v>191.01</v>
      </c>
      <c r="GN24" s="2">
        <f t="shared" ref="GN24:GN49" si="42">IF(OR(BI24=0,BI24=1),ROUND(O24+X24+Y24+GK24,2),0)</f>
        <v>0</v>
      </c>
      <c r="GO24" s="2">
        <f t="shared" ref="GO24:GO49" si="43">IF(BI24=2,ROUND(O24+X24+Y24+GK24,2),0)</f>
        <v>191.01</v>
      </c>
      <c r="GP24" s="2">
        <f t="shared" ref="GP24:GP49" si="44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49" si="45">ROUND(GT24,2)</f>
        <v>0</v>
      </c>
      <c r="GW24" s="2">
        <v>1</v>
      </c>
      <c r="GX24" s="2">
        <f t="shared" ref="GX24:GX49" si="46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ROW(SmtRes!A10)</f>
        <v>10</v>
      </c>
      <c r="D25">
        <f>ROW(EtalonRes!A18)</f>
        <v>18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1</v>
      </c>
      <c r="J25">
        <v>0</v>
      </c>
      <c r="O25">
        <f t="shared" si="14"/>
        <v>1586.42</v>
      </c>
      <c r="P25">
        <f t="shared" si="15"/>
        <v>0</v>
      </c>
      <c r="Q25">
        <f t="shared" si="16"/>
        <v>746.63</v>
      </c>
      <c r="R25">
        <f t="shared" si="17"/>
        <v>136.88</v>
      </c>
      <c r="S25">
        <f t="shared" si="18"/>
        <v>839.79</v>
      </c>
      <c r="T25">
        <f t="shared" si="19"/>
        <v>0</v>
      </c>
      <c r="U25">
        <f t="shared" si="20"/>
        <v>4.7699999999999996</v>
      </c>
      <c r="V25">
        <f t="shared" si="21"/>
        <v>1.01</v>
      </c>
      <c r="W25">
        <f t="shared" si="22"/>
        <v>0</v>
      </c>
      <c r="X25">
        <f t="shared" si="23"/>
        <v>791.1</v>
      </c>
      <c r="Y25">
        <f t="shared" si="24"/>
        <v>507.87</v>
      </c>
      <c r="AA25">
        <v>34687671</v>
      </c>
      <c r="AB25">
        <f t="shared" si="25"/>
        <v>105.62</v>
      </c>
      <c r="AC25">
        <f>ROUND(((ES25*0)),2)</f>
        <v>0</v>
      </c>
      <c r="AD25">
        <f>ROUND(((((ET25*0.6))-((EU25*0.6)))+AE25),2)</f>
        <v>59.73</v>
      </c>
      <c r="AE25">
        <f>ROUND(((EU25*0.6)),2)</f>
        <v>7.48</v>
      </c>
      <c r="AF25">
        <f>ROUND(((EV25*0.6)),2)</f>
        <v>45.89</v>
      </c>
      <c r="AG25">
        <f t="shared" si="26"/>
        <v>0</v>
      </c>
      <c r="AH25">
        <f>((EW25*0.6))</f>
        <v>4.7699999999999996</v>
      </c>
      <c r="AI25">
        <f>((EX25*0.6)+(SUM(SmtRes!BH6:'SmtRes'!BH10)+SUM(EtalonRes!AQ10:'EtalonRes'!AQ18)))</f>
        <v>1.01</v>
      </c>
      <c r="AJ25">
        <f t="shared" si="27"/>
        <v>0</v>
      </c>
      <c r="AK25">
        <f>AL25+AM25+AO25</f>
        <v>204.77000000000004</v>
      </c>
      <c r="AL25">
        <v>28.75</v>
      </c>
      <c r="AM25" s="56">
        <f>'1.Смета.или.Акт'!F48</f>
        <v>99.54</v>
      </c>
      <c r="AN25" s="56">
        <f>'1.Смета.или.Акт'!F49</f>
        <v>12.46</v>
      </c>
      <c r="AO25" s="56">
        <f>'1.Смета.или.Акт'!F47</f>
        <v>76.48</v>
      </c>
      <c r="AP25">
        <v>0</v>
      </c>
      <c r="AQ25">
        <f>'1.Смета.или.Акт'!E52</f>
        <v>7.95</v>
      </c>
      <c r="AR25">
        <v>1.01</v>
      </c>
      <c r="AS25">
        <v>0</v>
      </c>
      <c r="AT25">
        <v>81</v>
      </c>
      <c r="AU25">
        <v>52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2</v>
      </c>
      <c r="BJ25" t="s">
        <v>16</v>
      </c>
      <c r="BM25">
        <v>108001</v>
      </c>
      <c r="BN25">
        <v>0</v>
      </c>
      <c r="BO25" t="s">
        <v>3</v>
      </c>
      <c r="BP25">
        <v>0</v>
      </c>
      <c r="BQ25">
        <v>2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65</v>
      </c>
      <c r="CF25">
        <v>0</v>
      </c>
      <c r="CG25">
        <v>0</v>
      </c>
      <c r="CM25">
        <v>0</v>
      </c>
      <c r="CN25" t="s">
        <v>17</v>
      </c>
      <c r="CO25">
        <v>0</v>
      </c>
      <c r="CP25">
        <f t="shared" si="28"/>
        <v>1586.42</v>
      </c>
      <c r="CQ25">
        <f t="shared" si="29"/>
        <v>0</v>
      </c>
      <c r="CR25">
        <f t="shared" si="30"/>
        <v>746.625</v>
      </c>
      <c r="CS25">
        <f t="shared" si="31"/>
        <v>136.88400000000001</v>
      </c>
      <c r="CT25">
        <f t="shared" si="32"/>
        <v>839.78700000000003</v>
      </c>
      <c r="CU25">
        <f t="shared" si="33"/>
        <v>0</v>
      </c>
      <c r="CV25">
        <f t="shared" si="34"/>
        <v>4.7699999999999996</v>
      </c>
      <c r="CW25">
        <f t="shared" si="35"/>
        <v>1.01</v>
      </c>
      <c r="CX25">
        <f t="shared" si="36"/>
        <v>0</v>
      </c>
      <c r="CY25">
        <f t="shared" si="37"/>
        <v>791.10269999999991</v>
      </c>
      <c r="CZ25">
        <f t="shared" si="38"/>
        <v>507.86839999999995</v>
      </c>
      <c r="DC25" t="s">
        <v>3</v>
      </c>
      <c r="DD25" t="s">
        <v>18</v>
      </c>
      <c r="DE25" t="s">
        <v>19</v>
      </c>
      <c r="DF25" t="s">
        <v>19</v>
      </c>
      <c r="DG25" t="s">
        <v>19</v>
      </c>
      <c r="DH25" t="s">
        <v>3</v>
      </c>
      <c r="DI25" t="s">
        <v>19</v>
      </c>
      <c r="DJ25" t="s">
        <v>19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15</v>
      </c>
      <c r="DW25" t="str">
        <f>'1.Смета.или.Акт'!D46</f>
        <v>ШТ</v>
      </c>
      <c r="DX25">
        <v>1</v>
      </c>
      <c r="EE25">
        <v>32653241</v>
      </c>
      <c r="EF25">
        <v>2</v>
      </c>
      <c r="EG25" t="s">
        <v>20</v>
      </c>
      <c r="EH25">
        <v>0</v>
      </c>
      <c r="EI25" t="s">
        <v>3</v>
      </c>
      <c r="EJ25">
        <v>2</v>
      </c>
      <c r="EK25">
        <v>108001</v>
      </c>
      <c r="EL25" t="s">
        <v>21</v>
      </c>
      <c r="EM25" t="s">
        <v>22</v>
      </c>
      <c r="EO25" t="s">
        <v>23</v>
      </c>
      <c r="EQ25">
        <v>0</v>
      </c>
      <c r="ER25">
        <f>ES25+ET25+EV25</f>
        <v>204.77000000000004</v>
      </c>
      <c r="ES25">
        <v>28.75</v>
      </c>
      <c r="ET25" s="56">
        <f>'1.Смета.или.Акт'!F48</f>
        <v>99.54</v>
      </c>
      <c r="EU25" s="56">
        <f>'1.Смета.или.Акт'!F49</f>
        <v>12.46</v>
      </c>
      <c r="EV25" s="56">
        <f>'1.Смета.или.Акт'!F47</f>
        <v>76.48</v>
      </c>
      <c r="EW25">
        <f>'1.Смета.или.Акт'!E52</f>
        <v>7.95</v>
      </c>
      <c r="EX25">
        <v>1.01</v>
      </c>
      <c r="EY25">
        <v>1</v>
      </c>
      <c r="FQ25">
        <v>0</v>
      </c>
      <c r="FR25">
        <f t="shared" si="39"/>
        <v>0</v>
      </c>
      <c r="FS25">
        <v>0</v>
      </c>
      <c r="FV25" t="s">
        <v>24</v>
      </c>
      <c r="FW25" t="s">
        <v>25</v>
      </c>
      <c r="FX25">
        <v>95</v>
      </c>
      <c r="FY25">
        <v>65</v>
      </c>
      <c r="GA25" t="s">
        <v>3</v>
      </c>
      <c r="GD25">
        <v>0</v>
      </c>
      <c r="GF25">
        <v>204030540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0"/>
        <v>0</v>
      </c>
      <c r="GM25">
        <f t="shared" si="41"/>
        <v>2885.39</v>
      </c>
      <c r="GN25">
        <f t="shared" si="42"/>
        <v>0</v>
      </c>
      <c r="GO25">
        <f t="shared" si="43"/>
        <v>2885.39</v>
      </c>
      <c r="GP25">
        <f t="shared" si="44"/>
        <v>0</v>
      </c>
      <c r="GR25">
        <v>0</v>
      </c>
      <c r="GS25">
        <v>3</v>
      </c>
      <c r="GT25">
        <v>0</v>
      </c>
      <c r="GU25" t="s">
        <v>3</v>
      </c>
      <c r="GV25">
        <f t="shared" si="45"/>
        <v>0</v>
      </c>
      <c r="GW25">
        <v>18.3</v>
      </c>
      <c r="GX25">
        <f t="shared" si="46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ROW(SmtRes!A12)</f>
        <v>12</v>
      </c>
      <c r="D26" s="2">
        <f>ROW(EtalonRes!A20)</f>
        <v>20</v>
      </c>
      <c r="E26" s="2" t="s">
        <v>26</v>
      </c>
      <c r="F26" s="2" t="s">
        <v>27</v>
      </c>
      <c r="G26" s="2" t="s">
        <v>28</v>
      </c>
      <c r="H26" s="2" t="s">
        <v>15</v>
      </c>
      <c r="I26" s="2">
        <f>'1.Смета.или.Акт'!E54</f>
        <v>1</v>
      </c>
      <c r="J26" s="2">
        <v>0</v>
      </c>
      <c r="K26" s="2"/>
      <c r="L26" s="2"/>
      <c r="M26" s="2"/>
      <c r="N26" s="2"/>
      <c r="O26" s="2">
        <f t="shared" si="14"/>
        <v>227.05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227.05</v>
      </c>
      <c r="T26" s="2">
        <f t="shared" si="19"/>
        <v>0</v>
      </c>
      <c r="U26" s="2">
        <f t="shared" si="20"/>
        <v>18</v>
      </c>
      <c r="V26" s="2">
        <f t="shared" si="21"/>
        <v>0</v>
      </c>
      <c r="W26" s="2">
        <f t="shared" si="22"/>
        <v>0</v>
      </c>
      <c r="X26" s="2">
        <f t="shared" si="23"/>
        <v>147.58000000000001</v>
      </c>
      <c r="Y26" s="2">
        <f t="shared" si="24"/>
        <v>90.82</v>
      </c>
      <c r="Z26" s="2"/>
      <c r="AA26" s="2">
        <v>34687670</v>
      </c>
      <c r="AB26" s="2">
        <f t="shared" si="25"/>
        <v>227.05</v>
      </c>
      <c r="AC26" s="2">
        <f>ROUND((ES26),2)</f>
        <v>0</v>
      </c>
      <c r="AD26" s="2">
        <f t="shared" ref="AD26:AD49" si="47">ROUND((((ET26)-(EU26))+AE26),2)</f>
        <v>0</v>
      </c>
      <c r="AE26" s="2">
        <f t="shared" ref="AE26:AE49" si="48">ROUND((EU26),2)</f>
        <v>0</v>
      </c>
      <c r="AF26" s="2">
        <f t="shared" ref="AF26:AF49" si="49">ROUND((EV26),2)</f>
        <v>227.05</v>
      </c>
      <c r="AG26" s="2">
        <f t="shared" si="26"/>
        <v>0</v>
      </c>
      <c r="AH26" s="2">
        <f t="shared" ref="AH26:AH49" si="50">(EW26)</f>
        <v>18</v>
      </c>
      <c r="AI26" s="2">
        <f t="shared" ref="AI26:AI49" si="51">(EX26)</f>
        <v>0</v>
      </c>
      <c r="AJ26" s="2">
        <f t="shared" si="27"/>
        <v>0</v>
      </c>
      <c r="AK26" s="2">
        <v>227.05</v>
      </c>
      <c r="AL26" s="2">
        <v>0</v>
      </c>
      <c r="AM26" s="2">
        <v>0</v>
      </c>
      <c r="AN26" s="2">
        <v>0</v>
      </c>
      <c r="AO26" s="2">
        <v>227.05</v>
      </c>
      <c r="AP26" s="2">
        <v>0</v>
      </c>
      <c r="AQ26" s="2">
        <v>18</v>
      </c>
      <c r="AR26" s="2">
        <v>0</v>
      </c>
      <c r="AS26" s="2">
        <v>0</v>
      </c>
      <c r="AT26" s="2">
        <v>65</v>
      </c>
      <c r="AU26" s="2">
        <v>40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4</v>
      </c>
      <c r="BJ26" s="2" t="s">
        <v>29</v>
      </c>
      <c r="BK26" s="2"/>
      <c r="BL26" s="2"/>
      <c r="BM26" s="2">
        <v>200001</v>
      </c>
      <c r="BN26" s="2">
        <v>0</v>
      </c>
      <c r="BO26" s="2" t="s">
        <v>3</v>
      </c>
      <c r="BP26" s="2">
        <v>0</v>
      </c>
      <c r="BQ26" s="2">
        <v>5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65</v>
      </c>
      <c r="CA26" s="2">
        <v>40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28"/>
        <v>227.05</v>
      </c>
      <c r="CQ26" s="2">
        <f t="shared" si="29"/>
        <v>0</v>
      </c>
      <c r="CR26" s="2">
        <f t="shared" si="30"/>
        <v>0</v>
      </c>
      <c r="CS26" s="2">
        <f t="shared" si="31"/>
        <v>0</v>
      </c>
      <c r="CT26" s="2">
        <f t="shared" si="32"/>
        <v>227.05</v>
      </c>
      <c r="CU26" s="2">
        <f t="shared" si="33"/>
        <v>0</v>
      </c>
      <c r="CV26" s="2">
        <f t="shared" si="34"/>
        <v>18</v>
      </c>
      <c r="CW26" s="2">
        <f t="shared" si="35"/>
        <v>0</v>
      </c>
      <c r="CX26" s="2">
        <f t="shared" si="36"/>
        <v>0</v>
      </c>
      <c r="CY26" s="2">
        <f t="shared" si="37"/>
        <v>147.58250000000001</v>
      </c>
      <c r="CZ26" s="2">
        <f t="shared" si="38"/>
        <v>90.82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15</v>
      </c>
      <c r="DW26" s="2" t="s">
        <v>15</v>
      </c>
      <c r="DX26" s="2">
        <v>1</v>
      </c>
      <c r="DY26" s="2"/>
      <c r="DZ26" s="2"/>
      <c r="EA26" s="2"/>
      <c r="EB26" s="2"/>
      <c r="EC26" s="2"/>
      <c r="ED26" s="2"/>
      <c r="EE26" s="2">
        <v>32653283</v>
      </c>
      <c r="EF26" s="2">
        <v>5</v>
      </c>
      <c r="EG26" s="2" t="s">
        <v>30</v>
      </c>
      <c r="EH26" s="2">
        <v>0</v>
      </c>
      <c r="EI26" s="2" t="s">
        <v>3</v>
      </c>
      <c r="EJ26" s="2">
        <v>4</v>
      </c>
      <c r="EK26" s="2">
        <v>200001</v>
      </c>
      <c r="EL26" s="2" t="s">
        <v>31</v>
      </c>
      <c r="EM26" s="2" t="s">
        <v>32</v>
      </c>
      <c r="EN26" s="2"/>
      <c r="EO26" s="2" t="s">
        <v>3</v>
      </c>
      <c r="EP26" s="2"/>
      <c r="EQ26" s="2">
        <v>0</v>
      </c>
      <c r="ER26" s="2">
        <v>227.05</v>
      </c>
      <c r="ES26" s="2">
        <v>0</v>
      </c>
      <c r="ET26" s="2">
        <v>0</v>
      </c>
      <c r="EU26" s="2">
        <v>0</v>
      </c>
      <c r="EV26" s="2">
        <v>227.05</v>
      </c>
      <c r="EW26" s="2">
        <v>18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39"/>
        <v>0</v>
      </c>
      <c r="FS26" s="2">
        <v>0</v>
      </c>
      <c r="FT26" s="2"/>
      <c r="FU26" s="2"/>
      <c r="FV26" s="2"/>
      <c r="FW26" s="2"/>
      <c r="FX26" s="2">
        <v>65</v>
      </c>
      <c r="FY26" s="2">
        <v>40</v>
      </c>
      <c r="FZ26" s="2"/>
      <c r="GA26" s="2" t="s">
        <v>3</v>
      </c>
      <c r="GB26" s="2"/>
      <c r="GC26" s="2"/>
      <c r="GD26" s="2">
        <v>0</v>
      </c>
      <c r="GE26" s="2"/>
      <c r="GF26" s="2">
        <v>-772177144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0"/>
        <v>0</v>
      </c>
      <c r="GM26" s="2">
        <f t="shared" si="41"/>
        <v>465.45</v>
      </c>
      <c r="GN26" s="2">
        <f t="shared" si="42"/>
        <v>0</v>
      </c>
      <c r="GO26" s="2">
        <f t="shared" si="43"/>
        <v>0</v>
      </c>
      <c r="GP26" s="2">
        <f t="shared" si="44"/>
        <v>465.45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45"/>
        <v>0</v>
      </c>
      <c r="GW26" s="2">
        <v>1</v>
      </c>
      <c r="GX26" s="2">
        <f t="shared" si="46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ROW(SmtRes!A14)</f>
        <v>14</v>
      </c>
      <c r="D27">
        <f>ROW(EtalonRes!A22)</f>
        <v>22</v>
      </c>
      <c r="E27" t="s">
        <v>26</v>
      </c>
      <c r="F27" t="s">
        <v>27</v>
      </c>
      <c r="G27" t="s">
        <v>28</v>
      </c>
      <c r="H27" t="s">
        <v>15</v>
      </c>
      <c r="I27">
        <f>'1.Смета.или.Акт'!E54</f>
        <v>1</v>
      </c>
      <c r="J27">
        <v>0</v>
      </c>
      <c r="O27">
        <f t="shared" si="14"/>
        <v>4155.0200000000004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4155.0200000000004</v>
      </c>
      <c r="T27">
        <f t="shared" si="19"/>
        <v>0</v>
      </c>
      <c r="U27">
        <f t="shared" si="20"/>
        <v>18</v>
      </c>
      <c r="V27">
        <f t="shared" si="21"/>
        <v>0</v>
      </c>
      <c r="W27">
        <f t="shared" si="22"/>
        <v>0</v>
      </c>
      <c r="X27">
        <f t="shared" si="23"/>
        <v>2285.2600000000002</v>
      </c>
      <c r="Y27">
        <f t="shared" si="24"/>
        <v>1329.61</v>
      </c>
      <c r="AA27">
        <v>34687671</v>
      </c>
      <c r="AB27">
        <f t="shared" si="25"/>
        <v>227.05</v>
      </c>
      <c r="AC27">
        <f>ROUND((ES27),2)</f>
        <v>0</v>
      </c>
      <c r="AD27">
        <f t="shared" si="47"/>
        <v>0</v>
      </c>
      <c r="AE27">
        <f t="shared" si="48"/>
        <v>0</v>
      </c>
      <c r="AF27">
        <f t="shared" si="49"/>
        <v>227.05</v>
      </c>
      <c r="AG27">
        <f t="shared" si="26"/>
        <v>0</v>
      </c>
      <c r="AH27">
        <f t="shared" si="50"/>
        <v>18</v>
      </c>
      <c r="AI27">
        <f t="shared" si="51"/>
        <v>0</v>
      </c>
      <c r="AJ27">
        <f t="shared" si="27"/>
        <v>0</v>
      </c>
      <c r="AK27">
        <f>AL27+AM27+AO27</f>
        <v>227.05</v>
      </c>
      <c r="AL27">
        <v>0</v>
      </c>
      <c r="AM27">
        <v>0</v>
      </c>
      <c r="AN27">
        <v>0</v>
      </c>
      <c r="AO27" s="56">
        <f>'1.Смета.или.Акт'!F55</f>
        <v>227.05</v>
      </c>
      <c r="AP27">
        <v>0</v>
      </c>
      <c r="AQ27">
        <f>'1.Смета.или.Акт'!E58</f>
        <v>18</v>
      </c>
      <c r="AR27">
        <v>0</v>
      </c>
      <c r="AS27">
        <v>0</v>
      </c>
      <c r="AT27">
        <v>55</v>
      </c>
      <c r="AU27">
        <v>32</v>
      </c>
      <c r="AV27">
        <v>1</v>
      </c>
      <c r="AW27">
        <v>1</v>
      </c>
      <c r="AZ27">
        <v>1</v>
      </c>
      <c r="BA27">
        <f>'1.Смета.или.Акт'!J55</f>
        <v>18.3</v>
      </c>
      <c r="BB27">
        <v>18.3</v>
      </c>
      <c r="BC27">
        <v>18.3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4</v>
      </c>
      <c r="BJ27" t="s">
        <v>29</v>
      </c>
      <c r="BM27">
        <v>200001</v>
      </c>
      <c r="BN27">
        <v>0</v>
      </c>
      <c r="BO27" t="s">
        <v>3</v>
      </c>
      <c r="BP27">
        <v>0</v>
      </c>
      <c r="BQ27">
        <v>5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65</v>
      </c>
      <c r="CA27">
        <v>40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28"/>
        <v>4155.0200000000004</v>
      </c>
      <c r="CQ27">
        <f t="shared" si="29"/>
        <v>0</v>
      </c>
      <c r="CR27">
        <f t="shared" si="30"/>
        <v>0</v>
      </c>
      <c r="CS27">
        <f t="shared" si="31"/>
        <v>0</v>
      </c>
      <c r="CT27">
        <f t="shared" si="32"/>
        <v>4155.0150000000003</v>
      </c>
      <c r="CU27">
        <f t="shared" si="33"/>
        <v>0</v>
      </c>
      <c r="CV27">
        <f t="shared" si="34"/>
        <v>18</v>
      </c>
      <c r="CW27">
        <f t="shared" si="35"/>
        <v>0</v>
      </c>
      <c r="CX27">
        <f t="shared" si="36"/>
        <v>0</v>
      </c>
      <c r="CY27">
        <f t="shared" si="37"/>
        <v>2285.2610000000004</v>
      </c>
      <c r="CZ27">
        <f t="shared" si="38"/>
        <v>1329.6064000000001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15</v>
      </c>
      <c r="DW27" t="str">
        <f>'1.Смета.или.Акт'!D54</f>
        <v>ШТ</v>
      </c>
      <c r="DX27">
        <v>1</v>
      </c>
      <c r="EE27">
        <v>32653283</v>
      </c>
      <c r="EF27">
        <v>5</v>
      </c>
      <c r="EG27" t="s">
        <v>30</v>
      </c>
      <c r="EH27">
        <v>0</v>
      </c>
      <c r="EI27" t="s">
        <v>3</v>
      </c>
      <c r="EJ27">
        <v>4</v>
      </c>
      <c r="EK27">
        <v>200001</v>
      </c>
      <c r="EL27" t="s">
        <v>31</v>
      </c>
      <c r="EM27" t="s">
        <v>32</v>
      </c>
      <c r="EO27" t="s">
        <v>3</v>
      </c>
      <c r="EQ27">
        <v>0</v>
      </c>
      <c r="ER27">
        <f>ES27+ET27+EV27</f>
        <v>227.05</v>
      </c>
      <c r="ES27">
        <v>0</v>
      </c>
      <c r="ET27">
        <v>0</v>
      </c>
      <c r="EU27">
        <v>0</v>
      </c>
      <c r="EV27" s="56">
        <f>'1.Смета.или.Акт'!F55</f>
        <v>227.05</v>
      </c>
      <c r="EW27">
        <f>'1.Смета.или.Акт'!E58</f>
        <v>18</v>
      </c>
      <c r="EX27">
        <v>0</v>
      </c>
      <c r="EY27">
        <v>0</v>
      </c>
      <c r="FQ27">
        <v>0</v>
      </c>
      <c r="FR27">
        <f t="shared" si="39"/>
        <v>0</v>
      </c>
      <c r="FS27">
        <v>0</v>
      </c>
      <c r="FV27" t="s">
        <v>24</v>
      </c>
      <c r="FW27" t="s">
        <v>25</v>
      </c>
      <c r="FX27">
        <v>65</v>
      </c>
      <c r="FY27">
        <v>40</v>
      </c>
      <c r="GA27" t="s">
        <v>3</v>
      </c>
      <c r="GD27">
        <v>0</v>
      </c>
      <c r="GF27">
        <v>-772177144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0"/>
        <v>0</v>
      </c>
      <c r="GM27">
        <f t="shared" si="41"/>
        <v>7769.89</v>
      </c>
      <c r="GN27">
        <f t="shared" si="42"/>
        <v>0</v>
      </c>
      <c r="GO27">
        <f t="shared" si="43"/>
        <v>0</v>
      </c>
      <c r="GP27">
        <f t="shared" si="44"/>
        <v>7769.89</v>
      </c>
      <c r="GR27">
        <v>0</v>
      </c>
      <c r="GS27">
        <v>3</v>
      </c>
      <c r="GT27">
        <v>0</v>
      </c>
      <c r="GU27" t="s">
        <v>3</v>
      </c>
      <c r="GV27">
        <f t="shared" si="45"/>
        <v>0</v>
      </c>
      <c r="GW27">
        <v>18.3</v>
      </c>
      <c r="GX27">
        <f t="shared" si="46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ROW(SmtRes!A19)</f>
        <v>19</v>
      </c>
      <c r="D28" s="2">
        <f>ROW(EtalonRes!A32)</f>
        <v>32</v>
      </c>
      <c r="E28" s="2" t="s">
        <v>33</v>
      </c>
      <c r="F28" s="2" t="s">
        <v>34</v>
      </c>
      <c r="G28" s="2" t="s">
        <v>35</v>
      </c>
      <c r="H28" s="2" t="s">
        <v>15</v>
      </c>
      <c r="I28" s="2">
        <f>'1.Смета.или.Акт'!E60</f>
        <v>1</v>
      </c>
      <c r="J28" s="2">
        <v>0</v>
      </c>
      <c r="K28" s="2"/>
      <c r="L28" s="2"/>
      <c r="M28" s="2"/>
      <c r="N28" s="2"/>
      <c r="O28" s="2">
        <f t="shared" si="14"/>
        <v>162.12</v>
      </c>
      <c r="P28" s="2">
        <f t="shared" si="15"/>
        <v>0.01</v>
      </c>
      <c r="Q28" s="2">
        <f t="shared" si="16"/>
        <v>42.82</v>
      </c>
      <c r="R28" s="2">
        <f t="shared" si="17"/>
        <v>5.01</v>
      </c>
      <c r="S28" s="2">
        <f t="shared" si="18"/>
        <v>119.29</v>
      </c>
      <c r="T28" s="2">
        <f t="shared" si="19"/>
        <v>0</v>
      </c>
      <c r="U28" s="2">
        <f t="shared" si="20"/>
        <v>12.4</v>
      </c>
      <c r="V28" s="2">
        <f t="shared" si="21"/>
        <v>0.41</v>
      </c>
      <c r="W28" s="2">
        <f t="shared" si="22"/>
        <v>0</v>
      </c>
      <c r="X28" s="2">
        <f t="shared" si="23"/>
        <v>118.09</v>
      </c>
      <c r="Y28" s="2">
        <f t="shared" si="24"/>
        <v>80.8</v>
      </c>
      <c r="Z28" s="2"/>
      <c r="AA28" s="2">
        <v>34687670</v>
      </c>
      <c r="AB28" s="2">
        <f t="shared" si="25"/>
        <v>162.12</v>
      </c>
      <c r="AC28" s="2">
        <f>ROUND((ES28+(SUM(SmtRes!BC15:'SmtRes'!BC19)+SUM(EtalonRes!AL23:'EtalonRes'!AL32))),2)</f>
        <v>0.01</v>
      </c>
      <c r="AD28" s="2">
        <f t="shared" si="47"/>
        <v>42.82</v>
      </c>
      <c r="AE28" s="2">
        <f t="shared" si="48"/>
        <v>5.01</v>
      </c>
      <c r="AF28" s="2">
        <f t="shared" si="49"/>
        <v>119.29</v>
      </c>
      <c r="AG28" s="2">
        <f t="shared" si="26"/>
        <v>0</v>
      </c>
      <c r="AH28" s="2">
        <f t="shared" si="50"/>
        <v>12.4</v>
      </c>
      <c r="AI28" s="2">
        <f t="shared" si="51"/>
        <v>0.41</v>
      </c>
      <c r="AJ28" s="2">
        <f t="shared" si="27"/>
        <v>0</v>
      </c>
      <c r="AK28" s="2">
        <v>181.42</v>
      </c>
      <c r="AL28" s="2">
        <v>19.309999999999999</v>
      </c>
      <c r="AM28" s="2">
        <v>42.82</v>
      </c>
      <c r="AN28" s="2">
        <v>5.01</v>
      </c>
      <c r="AO28" s="2">
        <v>119.29</v>
      </c>
      <c r="AP28" s="2">
        <v>0</v>
      </c>
      <c r="AQ28" s="2">
        <v>12.4</v>
      </c>
      <c r="AR28" s="2">
        <v>0.41</v>
      </c>
      <c r="AS28" s="2">
        <v>0</v>
      </c>
      <c r="AT28" s="2">
        <v>95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2</v>
      </c>
      <c r="BJ28" s="2" t="s">
        <v>36</v>
      </c>
      <c r="BK28" s="2"/>
      <c r="BL28" s="2"/>
      <c r="BM28" s="2">
        <v>108001</v>
      </c>
      <c r="BN28" s="2">
        <v>0</v>
      </c>
      <c r="BO28" s="2" t="s">
        <v>3</v>
      </c>
      <c r="BP28" s="2">
        <v>0</v>
      </c>
      <c r="BQ28" s="2">
        <v>2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95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28"/>
        <v>162.12</v>
      </c>
      <c r="CQ28" s="2">
        <f t="shared" si="29"/>
        <v>0.01</v>
      </c>
      <c r="CR28" s="2">
        <f t="shared" si="30"/>
        <v>42.82</v>
      </c>
      <c r="CS28" s="2">
        <f t="shared" si="31"/>
        <v>5.01</v>
      </c>
      <c r="CT28" s="2">
        <f t="shared" si="32"/>
        <v>119.29</v>
      </c>
      <c r="CU28" s="2">
        <f t="shared" si="33"/>
        <v>0</v>
      </c>
      <c r="CV28" s="2">
        <f t="shared" si="34"/>
        <v>12.4</v>
      </c>
      <c r="CW28" s="2">
        <f t="shared" si="35"/>
        <v>0.41</v>
      </c>
      <c r="CX28" s="2">
        <f t="shared" si="36"/>
        <v>0</v>
      </c>
      <c r="CY28" s="2">
        <f t="shared" si="37"/>
        <v>118.08500000000002</v>
      </c>
      <c r="CZ28" s="2">
        <f t="shared" si="38"/>
        <v>80.795000000000016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15</v>
      </c>
      <c r="DW28" s="2" t="s">
        <v>15</v>
      </c>
      <c r="DX28" s="2">
        <v>1</v>
      </c>
      <c r="DY28" s="2"/>
      <c r="DZ28" s="2"/>
      <c r="EA28" s="2"/>
      <c r="EB28" s="2"/>
      <c r="EC28" s="2"/>
      <c r="ED28" s="2"/>
      <c r="EE28" s="2">
        <v>32653241</v>
      </c>
      <c r="EF28" s="2">
        <v>2</v>
      </c>
      <c r="EG28" s="2" t="s">
        <v>20</v>
      </c>
      <c r="EH28" s="2">
        <v>0</v>
      </c>
      <c r="EI28" s="2" t="s">
        <v>3</v>
      </c>
      <c r="EJ28" s="2">
        <v>2</v>
      </c>
      <c r="EK28" s="2">
        <v>108001</v>
      </c>
      <c r="EL28" s="2" t="s">
        <v>21</v>
      </c>
      <c r="EM28" s="2" t="s">
        <v>22</v>
      </c>
      <c r="EN28" s="2"/>
      <c r="EO28" s="2" t="s">
        <v>3</v>
      </c>
      <c r="EP28" s="2"/>
      <c r="EQ28" s="2">
        <v>0</v>
      </c>
      <c r="ER28" s="2">
        <v>181.42</v>
      </c>
      <c r="ES28" s="2">
        <v>19.309999999999999</v>
      </c>
      <c r="ET28" s="2">
        <v>42.82</v>
      </c>
      <c r="EU28" s="2">
        <v>5.01</v>
      </c>
      <c r="EV28" s="2">
        <v>119.29</v>
      </c>
      <c r="EW28" s="2">
        <v>12.4</v>
      </c>
      <c r="EX28" s="2">
        <v>0.41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39"/>
        <v>0</v>
      </c>
      <c r="FS28" s="2">
        <v>0</v>
      </c>
      <c r="FT28" s="2"/>
      <c r="FU28" s="2"/>
      <c r="FV28" s="2"/>
      <c r="FW28" s="2"/>
      <c r="FX28" s="2">
        <v>95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463259964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0"/>
        <v>0</v>
      </c>
      <c r="GM28" s="2">
        <f t="shared" si="41"/>
        <v>361.01</v>
      </c>
      <c r="GN28" s="2">
        <f t="shared" si="42"/>
        <v>0</v>
      </c>
      <c r="GO28" s="2">
        <f t="shared" si="43"/>
        <v>361.01</v>
      </c>
      <c r="GP28" s="2">
        <f t="shared" si="44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45"/>
        <v>0</v>
      </c>
      <c r="GW28" s="2">
        <v>1</v>
      </c>
      <c r="GX28" s="2">
        <f t="shared" si="46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ROW(SmtRes!A24)</f>
        <v>24</v>
      </c>
      <c r="D29">
        <f>ROW(EtalonRes!A42)</f>
        <v>42</v>
      </c>
      <c r="E29" t="s">
        <v>33</v>
      </c>
      <c r="F29" t="s">
        <v>34</v>
      </c>
      <c r="G29" t="s">
        <v>35</v>
      </c>
      <c r="H29" t="s">
        <v>15</v>
      </c>
      <c r="I29">
        <f>'1.Смета.или.Акт'!E60</f>
        <v>1</v>
      </c>
      <c r="J29">
        <v>0</v>
      </c>
      <c r="O29">
        <f t="shared" si="14"/>
        <v>2718.34</v>
      </c>
      <c r="P29">
        <f t="shared" si="15"/>
        <v>0.08</v>
      </c>
      <c r="Q29">
        <f t="shared" si="16"/>
        <v>535.25</v>
      </c>
      <c r="R29">
        <f t="shared" si="17"/>
        <v>91.68</v>
      </c>
      <c r="S29">
        <f t="shared" si="18"/>
        <v>2183.0100000000002</v>
      </c>
      <c r="T29">
        <f t="shared" si="19"/>
        <v>0</v>
      </c>
      <c r="U29">
        <f t="shared" si="20"/>
        <v>12.4</v>
      </c>
      <c r="V29">
        <f t="shared" si="21"/>
        <v>0.41</v>
      </c>
      <c r="W29">
        <f t="shared" si="22"/>
        <v>0</v>
      </c>
      <c r="X29">
        <f t="shared" si="23"/>
        <v>1842.5</v>
      </c>
      <c r="Y29">
        <f t="shared" si="24"/>
        <v>1182.8399999999999</v>
      </c>
      <c r="AA29">
        <v>34687671</v>
      </c>
      <c r="AB29">
        <f t="shared" si="25"/>
        <v>162.12</v>
      </c>
      <c r="AC29">
        <f>ROUND((ES29+(SUM(SmtRes!BC20:'SmtRes'!BC24)+SUM(EtalonRes!AL33:'EtalonRes'!AL42))),2)</f>
        <v>0.01</v>
      </c>
      <c r="AD29">
        <f t="shared" si="47"/>
        <v>42.82</v>
      </c>
      <c r="AE29">
        <f t="shared" si="48"/>
        <v>5.01</v>
      </c>
      <c r="AF29">
        <f t="shared" si="49"/>
        <v>119.29</v>
      </c>
      <c r="AG29">
        <f t="shared" si="26"/>
        <v>0</v>
      </c>
      <c r="AH29">
        <f t="shared" si="50"/>
        <v>12.4</v>
      </c>
      <c r="AI29">
        <f t="shared" si="51"/>
        <v>0.41</v>
      </c>
      <c r="AJ29">
        <f t="shared" si="27"/>
        <v>0</v>
      </c>
      <c r="AK29">
        <f>AL29+AM29+AO29</f>
        <v>181.42000000000002</v>
      </c>
      <c r="AL29" s="56">
        <f>'1.Смета.или.Акт'!F64</f>
        <v>19.309999999999999</v>
      </c>
      <c r="AM29" s="56">
        <f>'1.Смета.или.Акт'!F62</f>
        <v>42.82</v>
      </c>
      <c r="AN29" s="56">
        <f>'1.Смета.или.Акт'!F63</f>
        <v>5.01</v>
      </c>
      <c r="AO29" s="56">
        <f>'1.Смета.или.Акт'!F61</f>
        <v>119.29</v>
      </c>
      <c r="AP29">
        <v>0</v>
      </c>
      <c r="AQ29">
        <f>'1.Смета.или.Акт'!E67</f>
        <v>12.4</v>
      </c>
      <c r="AR29">
        <v>0.41</v>
      </c>
      <c r="AS29">
        <v>0</v>
      </c>
      <c r="AT29">
        <v>81</v>
      </c>
      <c r="AU29">
        <v>52</v>
      </c>
      <c r="AV29">
        <v>1</v>
      </c>
      <c r="AW29">
        <v>1</v>
      </c>
      <c r="AZ29">
        <v>1</v>
      </c>
      <c r="BA29">
        <f>'1.Смета.или.Акт'!J61</f>
        <v>18.3</v>
      </c>
      <c r="BB29">
        <f>'1.Смета.или.Акт'!J62</f>
        <v>12.5</v>
      </c>
      <c r="BC29">
        <f>'1.Смета.или.Акт'!J64</f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2</v>
      </c>
      <c r="BJ29" t="s">
        <v>36</v>
      </c>
      <c r="BM29">
        <v>108001</v>
      </c>
      <c r="BN29">
        <v>0</v>
      </c>
      <c r="BO29" t="s">
        <v>3</v>
      </c>
      <c r="BP29">
        <v>0</v>
      </c>
      <c r="BQ29">
        <v>2</v>
      </c>
      <c r="BR29">
        <v>0</v>
      </c>
      <c r="BS29">
        <f>'1.Смета.или.Акт'!J63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95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28"/>
        <v>2718.34</v>
      </c>
      <c r="CQ29">
        <f t="shared" si="29"/>
        <v>7.4999999999999997E-2</v>
      </c>
      <c r="CR29">
        <f t="shared" si="30"/>
        <v>535.25</v>
      </c>
      <c r="CS29">
        <f t="shared" si="31"/>
        <v>91.682999999999993</v>
      </c>
      <c r="CT29">
        <f t="shared" si="32"/>
        <v>2183.0070000000001</v>
      </c>
      <c r="CU29">
        <f t="shared" si="33"/>
        <v>0</v>
      </c>
      <c r="CV29">
        <f t="shared" si="34"/>
        <v>12.4</v>
      </c>
      <c r="CW29">
        <f t="shared" si="35"/>
        <v>0.41</v>
      </c>
      <c r="CX29">
        <f t="shared" si="36"/>
        <v>0</v>
      </c>
      <c r="CY29">
        <f t="shared" si="37"/>
        <v>1842.4989</v>
      </c>
      <c r="CZ29">
        <f t="shared" si="38"/>
        <v>1182.8388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15</v>
      </c>
      <c r="DW29" t="str">
        <f>'1.Смета.или.Акт'!D60</f>
        <v>ШТ</v>
      </c>
      <c r="DX29">
        <v>1</v>
      </c>
      <c r="EE29">
        <v>32653241</v>
      </c>
      <c r="EF29">
        <v>2</v>
      </c>
      <c r="EG29" t="s">
        <v>20</v>
      </c>
      <c r="EH29">
        <v>0</v>
      </c>
      <c r="EI29" t="s">
        <v>3</v>
      </c>
      <c r="EJ29">
        <v>2</v>
      </c>
      <c r="EK29">
        <v>108001</v>
      </c>
      <c r="EL29" t="s">
        <v>21</v>
      </c>
      <c r="EM29" t="s">
        <v>22</v>
      </c>
      <c r="EO29" t="s">
        <v>3</v>
      </c>
      <c r="EQ29">
        <v>0</v>
      </c>
      <c r="ER29">
        <f>ES29+ET29+EV29</f>
        <v>181.42000000000002</v>
      </c>
      <c r="ES29" s="56">
        <f>'1.Смета.или.Акт'!F64</f>
        <v>19.309999999999999</v>
      </c>
      <c r="ET29" s="56">
        <f>'1.Смета.или.Акт'!F62</f>
        <v>42.82</v>
      </c>
      <c r="EU29" s="56">
        <f>'1.Смета.или.Акт'!F63</f>
        <v>5.01</v>
      </c>
      <c r="EV29" s="56">
        <f>'1.Смета.или.Акт'!F61</f>
        <v>119.29</v>
      </c>
      <c r="EW29">
        <f>'1.Смета.или.Акт'!E67</f>
        <v>12.4</v>
      </c>
      <c r="EX29">
        <v>0.41</v>
      </c>
      <c r="EY29">
        <v>1</v>
      </c>
      <c r="FQ29">
        <v>0</v>
      </c>
      <c r="FR29">
        <f t="shared" si="39"/>
        <v>0</v>
      </c>
      <c r="FS29">
        <v>0</v>
      </c>
      <c r="FV29" t="s">
        <v>24</v>
      </c>
      <c r="FW29" t="s">
        <v>25</v>
      </c>
      <c r="FX29">
        <v>95</v>
      </c>
      <c r="FY29">
        <v>65</v>
      </c>
      <c r="GA29" t="s">
        <v>3</v>
      </c>
      <c r="GD29">
        <v>0</v>
      </c>
      <c r="GF29">
        <v>463259964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0"/>
        <v>0</v>
      </c>
      <c r="GM29">
        <f t="shared" si="41"/>
        <v>5743.68</v>
      </c>
      <c r="GN29">
        <f t="shared" si="42"/>
        <v>0</v>
      </c>
      <c r="GO29">
        <f t="shared" si="43"/>
        <v>5743.68</v>
      </c>
      <c r="GP29">
        <f t="shared" si="44"/>
        <v>0</v>
      </c>
      <c r="GR29">
        <v>0</v>
      </c>
      <c r="GS29">
        <v>3</v>
      </c>
      <c r="GT29">
        <v>0</v>
      </c>
      <c r="GU29" t="s">
        <v>3</v>
      </c>
      <c r="GV29">
        <f t="shared" si="45"/>
        <v>0</v>
      </c>
      <c r="GW29">
        <v>18.3</v>
      </c>
      <c r="GX29">
        <f t="shared" si="46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/>
      <c r="D30" s="2"/>
      <c r="E30" s="2" t="s">
        <v>37</v>
      </c>
      <c r="F30" s="2" t="s">
        <v>38</v>
      </c>
      <c r="G30" s="2" t="s">
        <v>39</v>
      </c>
      <c r="H30" s="2" t="s">
        <v>40</v>
      </c>
      <c r="I30" s="2">
        <f>'1.Смета.или.Акт'!E69</f>
        <v>1</v>
      </c>
      <c r="J30" s="2">
        <v>0</v>
      </c>
      <c r="K30" s="2"/>
      <c r="L30" s="2"/>
      <c r="M30" s="2"/>
      <c r="N30" s="2"/>
      <c r="O30" s="2">
        <f t="shared" si="14"/>
        <v>26680</v>
      </c>
      <c r="P30" s="2">
        <f t="shared" si="15"/>
        <v>26680</v>
      </c>
      <c r="Q30" s="2">
        <f t="shared" si="16"/>
        <v>0</v>
      </c>
      <c r="R30" s="2">
        <f t="shared" si="17"/>
        <v>0</v>
      </c>
      <c r="S30" s="2">
        <f t="shared" si="18"/>
        <v>0</v>
      </c>
      <c r="T30" s="2">
        <f t="shared" si="19"/>
        <v>0</v>
      </c>
      <c r="U30" s="2">
        <f t="shared" si="20"/>
        <v>0</v>
      </c>
      <c r="V30" s="2">
        <f t="shared" si="21"/>
        <v>0</v>
      </c>
      <c r="W30" s="2">
        <f t="shared" si="22"/>
        <v>0</v>
      </c>
      <c r="X30" s="2">
        <f t="shared" si="23"/>
        <v>0</v>
      </c>
      <c r="Y30" s="2">
        <f t="shared" si="24"/>
        <v>0</v>
      </c>
      <c r="Z30" s="2"/>
      <c r="AA30" s="2">
        <v>34687670</v>
      </c>
      <c r="AB30" s="2">
        <f t="shared" si="25"/>
        <v>26680</v>
      </c>
      <c r="AC30" s="2">
        <f t="shared" ref="AC30:AC49" si="52">ROUND((ES30),2)</f>
        <v>26680</v>
      </c>
      <c r="AD30" s="2">
        <f t="shared" si="47"/>
        <v>0</v>
      </c>
      <c r="AE30" s="2">
        <f t="shared" si="48"/>
        <v>0</v>
      </c>
      <c r="AF30" s="2">
        <f t="shared" si="49"/>
        <v>0</v>
      </c>
      <c r="AG30" s="2">
        <f t="shared" si="26"/>
        <v>0</v>
      </c>
      <c r="AH30" s="2">
        <f t="shared" si="50"/>
        <v>0</v>
      </c>
      <c r="AI30" s="2">
        <f t="shared" si="51"/>
        <v>0</v>
      </c>
      <c r="AJ30" s="2">
        <f t="shared" si="27"/>
        <v>0</v>
      </c>
      <c r="AK30" s="2">
        <v>26680</v>
      </c>
      <c r="AL30" s="2">
        <v>26680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3</v>
      </c>
      <c r="BI30" s="2">
        <v>1</v>
      </c>
      <c r="BJ30" s="2" t="s">
        <v>3</v>
      </c>
      <c r="BK30" s="2"/>
      <c r="BL30" s="2"/>
      <c r="BM30" s="2">
        <v>1100</v>
      </c>
      <c r="BN30" s="2">
        <v>0</v>
      </c>
      <c r="BO30" s="2" t="s">
        <v>3</v>
      </c>
      <c r="BP30" s="2">
        <v>0</v>
      </c>
      <c r="BQ30" s="2">
        <v>20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0</v>
      </c>
      <c r="CA30" s="2">
        <v>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28"/>
        <v>26680</v>
      </c>
      <c r="CQ30" s="2">
        <f t="shared" si="29"/>
        <v>26680</v>
      </c>
      <c r="CR30" s="2">
        <f t="shared" si="30"/>
        <v>0</v>
      </c>
      <c r="CS30" s="2">
        <f t="shared" si="31"/>
        <v>0</v>
      </c>
      <c r="CT30" s="2">
        <f t="shared" si="32"/>
        <v>0</v>
      </c>
      <c r="CU30" s="2">
        <f t="shared" si="33"/>
        <v>0</v>
      </c>
      <c r="CV30" s="2">
        <f t="shared" si="34"/>
        <v>0</v>
      </c>
      <c r="CW30" s="2">
        <f t="shared" si="35"/>
        <v>0</v>
      </c>
      <c r="CX30" s="2">
        <f t="shared" si="36"/>
        <v>0</v>
      </c>
      <c r="CY30" s="2">
        <f t="shared" si="37"/>
        <v>0</v>
      </c>
      <c r="CZ30" s="2">
        <f t="shared" si="38"/>
        <v>0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40</v>
      </c>
      <c r="DW30" s="2" t="s">
        <v>41</v>
      </c>
      <c r="DX30" s="2">
        <v>1</v>
      </c>
      <c r="DY30" s="2"/>
      <c r="DZ30" s="2"/>
      <c r="EA30" s="2"/>
      <c r="EB30" s="2"/>
      <c r="EC30" s="2"/>
      <c r="ED30" s="2"/>
      <c r="EE30" s="2">
        <v>32653538</v>
      </c>
      <c r="EF30" s="2">
        <v>20</v>
      </c>
      <c r="EG30" s="2" t="s">
        <v>42</v>
      </c>
      <c r="EH30" s="2">
        <v>0</v>
      </c>
      <c r="EI30" s="2" t="s">
        <v>3</v>
      </c>
      <c r="EJ30" s="2">
        <v>1</v>
      </c>
      <c r="EK30" s="2">
        <v>1100</v>
      </c>
      <c r="EL30" s="2" t="s">
        <v>43</v>
      </c>
      <c r="EM30" s="2" t="s">
        <v>44</v>
      </c>
      <c r="EN30" s="2"/>
      <c r="EO30" s="2" t="s">
        <v>3</v>
      </c>
      <c r="EP30" s="2"/>
      <c r="EQ30" s="2">
        <v>0</v>
      </c>
      <c r="ER30" s="2">
        <v>0</v>
      </c>
      <c r="ES30" s="2">
        <v>26680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39"/>
        <v>0</v>
      </c>
      <c r="FS30" s="2">
        <v>0</v>
      </c>
      <c r="FT30" s="2"/>
      <c r="FU30" s="2"/>
      <c r="FV30" s="2"/>
      <c r="FW30" s="2"/>
      <c r="FX30" s="2">
        <v>0</v>
      </c>
      <c r="FY30" s="2">
        <v>0</v>
      </c>
      <c r="FZ30" s="2"/>
      <c r="GA30" s="2" t="s">
        <v>45</v>
      </c>
      <c r="GB30" s="2"/>
      <c r="GC30" s="2"/>
      <c r="GD30" s="2">
        <v>0</v>
      </c>
      <c r="GE30" s="2"/>
      <c r="GF30" s="2">
        <v>-1131103773</v>
      </c>
      <c r="GG30" s="2">
        <v>2</v>
      </c>
      <c r="GH30" s="2">
        <v>4</v>
      </c>
      <c r="GI30" s="2">
        <v>-2</v>
      </c>
      <c r="GJ30" s="2">
        <v>0</v>
      </c>
      <c r="GK30" s="2">
        <f>ROUND(R30*(R12)/100,2)</f>
        <v>0</v>
      </c>
      <c r="GL30" s="2">
        <f t="shared" si="40"/>
        <v>0</v>
      </c>
      <c r="GM30" s="2">
        <f t="shared" si="41"/>
        <v>26680</v>
      </c>
      <c r="GN30" s="2">
        <f t="shared" si="42"/>
        <v>26680</v>
      </c>
      <c r="GO30" s="2">
        <f t="shared" si="43"/>
        <v>0</v>
      </c>
      <c r="GP30" s="2">
        <f t="shared" si="44"/>
        <v>0</v>
      </c>
      <c r="GQ30" s="2"/>
      <c r="GR30" s="2">
        <v>0</v>
      </c>
      <c r="GS30" s="2">
        <v>2</v>
      </c>
      <c r="GT30" s="2">
        <v>0</v>
      </c>
      <c r="GU30" s="2" t="s">
        <v>3</v>
      </c>
      <c r="GV30" s="2">
        <f t="shared" si="45"/>
        <v>0</v>
      </c>
      <c r="GW30" s="2">
        <v>1</v>
      </c>
      <c r="GX30" s="2">
        <f t="shared" si="46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E31" t="s">
        <v>37</v>
      </c>
      <c r="F31" t="str">
        <f>'1.Смета.или.Акт'!B69</f>
        <v>Прайс-лист</v>
      </c>
      <c r="G31" t="str">
        <f>'1.Смета.или.Акт'!C69</f>
        <v>Выключатель ВВ\TEL-10</v>
      </c>
      <c r="H31" t="s">
        <v>40</v>
      </c>
      <c r="I31">
        <f>'1.Смета.или.Акт'!E69</f>
        <v>1</v>
      </c>
      <c r="J31">
        <v>0</v>
      </c>
      <c r="O31">
        <f t="shared" si="14"/>
        <v>200100</v>
      </c>
      <c r="P31">
        <f t="shared" si="15"/>
        <v>200100</v>
      </c>
      <c r="Q31">
        <f t="shared" si="16"/>
        <v>0</v>
      </c>
      <c r="R31">
        <f t="shared" si="17"/>
        <v>0</v>
      </c>
      <c r="S31">
        <f t="shared" si="18"/>
        <v>0</v>
      </c>
      <c r="T31">
        <f t="shared" si="19"/>
        <v>0</v>
      </c>
      <c r="U31">
        <f t="shared" si="20"/>
        <v>0</v>
      </c>
      <c r="V31">
        <f t="shared" si="21"/>
        <v>0</v>
      </c>
      <c r="W31">
        <f t="shared" si="22"/>
        <v>0</v>
      </c>
      <c r="X31">
        <f t="shared" si="23"/>
        <v>0</v>
      </c>
      <c r="Y31">
        <f t="shared" si="24"/>
        <v>0</v>
      </c>
      <c r="AA31">
        <v>34687671</v>
      </c>
      <c r="AB31">
        <f t="shared" si="25"/>
        <v>26680</v>
      </c>
      <c r="AC31">
        <f t="shared" si="52"/>
        <v>26680</v>
      </c>
      <c r="AD31">
        <f t="shared" si="47"/>
        <v>0</v>
      </c>
      <c r="AE31">
        <f t="shared" si="48"/>
        <v>0</v>
      </c>
      <c r="AF31">
        <f t="shared" si="49"/>
        <v>0</v>
      </c>
      <c r="AG31">
        <f t="shared" si="26"/>
        <v>0</v>
      </c>
      <c r="AH31">
        <f t="shared" si="50"/>
        <v>0</v>
      </c>
      <c r="AI31">
        <f t="shared" si="51"/>
        <v>0</v>
      </c>
      <c r="AJ31">
        <f t="shared" si="27"/>
        <v>0</v>
      </c>
      <c r="AK31">
        <v>26680</v>
      </c>
      <c r="AL31" s="56">
        <f>'1.Смета.или.Акт'!F69</f>
        <v>26680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1</v>
      </c>
      <c r="AZ31">
        <v>1</v>
      </c>
      <c r="BA31">
        <v>1</v>
      </c>
      <c r="BB31">
        <v>1</v>
      </c>
      <c r="BC31">
        <f>'1.Смета.или.Акт'!J69</f>
        <v>7.5</v>
      </c>
      <c r="BD31" t="s">
        <v>3</v>
      </c>
      <c r="BE31" t="s">
        <v>3</v>
      </c>
      <c r="BF31" t="s">
        <v>3</v>
      </c>
      <c r="BG31" t="s">
        <v>3</v>
      </c>
      <c r="BH31">
        <v>3</v>
      </c>
      <c r="BI31">
        <v>1</v>
      </c>
      <c r="BJ31" t="s">
        <v>3</v>
      </c>
      <c r="BM31">
        <v>1100</v>
      </c>
      <c r="BN31">
        <v>0</v>
      </c>
      <c r="BO31" t="s">
        <v>3</v>
      </c>
      <c r="BP31">
        <v>0</v>
      </c>
      <c r="BQ31">
        <v>20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0</v>
      </c>
      <c r="CA31">
        <v>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28"/>
        <v>200100</v>
      </c>
      <c r="CQ31">
        <f t="shared" si="29"/>
        <v>200100</v>
      </c>
      <c r="CR31">
        <f t="shared" si="30"/>
        <v>0</v>
      </c>
      <c r="CS31">
        <f t="shared" si="31"/>
        <v>0</v>
      </c>
      <c r="CT31">
        <f t="shared" si="32"/>
        <v>0</v>
      </c>
      <c r="CU31">
        <f t="shared" si="33"/>
        <v>0</v>
      </c>
      <c r="CV31">
        <f t="shared" si="34"/>
        <v>0</v>
      </c>
      <c r="CW31">
        <f t="shared" si="35"/>
        <v>0</v>
      </c>
      <c r="CX31">
        <f t="shared" si="36"/>
        <v>0</v>
      </c>
      <c r="CY31">
        <f t="shared" si="37"/>
        <v>0</v>
      </c>
      <c r="CZ31">
        <f t="shared" si="38"/>
        <v>0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40</v>
      </c>
      <c r="DW31" t="str">
        <f>'1.Смета.или.Акт'!D69</f>
        <v>шт</v>
      </c>
      <c r="DX31">
        <v>1</v>
      </c>
      <c r="EE31">
        <v>32653538</v>
      </c>
      <c r="EF31">
        <v>20</v>
      </c>
      <c r="EG31" t="s">
        <v>42</v>
      </c>
      <c r="EH31">
        <v>0</v>
      </c>
      <c r="EI31" t="s">
        <v>3</v>
      </c>
      <c r="EJ31">
        <v>1</v>
      </c>
      <c r="EK31">
        <v>1100</v>
      </c>
      <c r="EL31" t="s">
        <v>43</v>
      </c>
      <c r="EM31" t="s">
        <v>44</v>
      </c>
      <c r="EO31" t="s">
        <v>3</v>
      </c>
      <c r="EQ31">
        <v>0</v>
      </c>
      <c r="ER31">
        <v>26680</v>
      </c>
      <c r="ES31" s="56">
        <f>'1.Смета.или.Акт'!F69</f>
        <v>26680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5</v>
      </c>
      <c r="FC31">
        <v>0</v>
      </c>
      <c r="FD31">
        <v>18</v>
      </c>
      <c r="FF31">
        <v>200100</v>
      </c>
      <c r="FQ31">
        <v>0</v>
      </c>
      <c r="FR31">
        <f t="shared" si="39"/>
        <v>0</v>
      </c>
      <c r="FS31">
        <v>0</v>
      </c>
      <c r="FX31">
        <v>0</v>
      </c>
      <c r="FY31">
        <v>0</v>
      </c>
      <c r="GA31" t="s">
        <v>45</v>
      </c>
      <c r="GD31">
        <v>0</v>
      </c>
      <c r="GF31">
        <v>-1131103773</v>
      </c>
      <c r="GG31">
        <v>2</v>
      </c>
      <c r="GH31">
        <v>3</v>
      </c>
      <c r="GI31">
        <v>4</v>
      </c>
      <c r="GJ31">
        <v>0</v>
      </c>
      <c r="GK31">
        <f>ROUND(R31*(S12)/100,2)</f>
        <v>0</v>
      </c>
      <c r="GL31">
        <f t="shared" si="40"/>
        <v>0</v>
      </c>
      <c r="GM31">
        <f t="shared" si="41"/>
        <v>200100</v>
      </c>
      <c r="GN31">
        <f t="shared" si="42"/>
        <v>200100</v>
      </c>
      <c r="GO31">
        <f t="shared" si="43"/>
        <v>0</v>
      </c>
      <c r="GP31">
        <f t="shared" si="44"/>
        <v>0</v>
      </c>
      <c r="GR31">
        <v>1</v>
      </c>
      <c r="GS31">
        <v>1</v>
      </c>
      <c r="GT31">
        <v>0</v>
      </c>
      <c r="GU31" t="s">
        <v>3</v>
      </c>
      <c r="GV31">
        <f t="shared" si="45"/>
        <v>0</v>
      </c>
      <c r="GW31">
        <v>1</v>
      </c>
      <c r="GX31">
        <f t="shared" si="46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/>
      <c r="D32" s="2"/>
      <c r="E32" s="2" t="s">
        <v>46</v>
      </c>
      <c r="F32" s="2" t="s">
        <v>38</v>
      </c>
      <c r="G32" s="2" t="s">
        <v>47</v>
      </c>
      <c r="H32" s="2" t="s">
        <v>40</v>
      </c>
      <c r="I32" s="2">
        <f>'1.Смета.или.Акт'!E72</f>
        <v>25</v>
      </c>
      <c r="J32" s="2">
        <v>0</v>
      </c>
      <c r="K32" s="2"/>
      <c r="L32" s="2"/>
      <c r="M32" s="2"/>
      <c r="N32" s="2"/>
      <c r="O32" s="2">
        <f t="shared" si="14"/>
        <v>26.5</v>
      </c>
      <c r="P32" s="2">
        <f t="shared" si="15"/>
        <v>26.5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34687670</v>
      </c>
      <c r="AB32" s="2">
        <f t="shared" si="25"/>
        <v>1.06</v>
      </c>
      <c r="AC32" s="2">
        <f t="shared" si="52"/>
        <v>1.06</v>
      </c>
      <c r="AD32" s="2">
        <f t="shared" si="47"/>
        <v>0</v>
      </c>
      <c r="AE32" s="2">
        <f t="shared" si="48"/>
        <v>0</v>
      </c>
      <c r="AF32" s="2">
        <f t="shared" si="49"/>
        <v>0</v>
      </c>
      <c r="AG32" s="2">
        <f t="shared" si="26"/>
        <v>0</v>
      </c>
      <c r="AH32" s="2">
        <f t="shared" si="50"/>
        <v>0</v>
      </c>
      <c r="AI32" s="2">
        <f t="shared" si="51"/>
        <v>0</v>
      </c>
      <c r="AJ32" s="2">
        <f t="shared" si="27"/>
        <v>0</v>
      </c>
      <c r="AK32" s="2">
        <v>1.06</v>
      </c>
      <c r="AL32" s="2">
        <v>1.06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3</v>
      </c>
      <c r="BI32" s="2">
        <v>1</v>
      </c>
      <c r="BJ32" s="2" t="s">
        <v>3</v>
      </c>
      <c r="BK32" s="2"/>
      <c r="BL32" s="2"/>
      <c r="BM32" s="2">
        <v>1100</v>
      </c>
      <c r="BN32" s="2">
        <v>0</v>
      </c>
      <c r="BO32" s="2" t="s">
        <v>3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0</v>
      </c>
      <c r="CA32" s="2">
        <v>0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28"/>
        <v>26.5</v>
      </c>
      <c r="CQ32" s="2">
        <f t="shared" si="29"/>
        <v>1.06</v>
      </c>
      <c r="CR32" s="2">
        <f t="shared" si="30"/>
        <v>0</v>
      </c>
      <c r="CS32" s="2">
        <f t="shared" si="31"/>
        <v>0</v>
      </c>
      <c r="CT32" s="2">
        <f t="shared" si="32"/>
        <v>0</v>
      </c>
      <c r="CU32" s="2">
        <f t="shared" si="33"/>
        <v>0</v>
      </c>
      <c r="CV32" s="2">
        <f t="shared" si="34"/>
        <v>0</v>
      </c>
      <c r="CW32" s="2">
        <f t="shared" si="35"/>
        <v>0</v>
      </c>
      <c r="CX32" s="2">
        <f t="shared" si="36"/>
        <v>0</v>
      </c>
      <c r="CY32" s="2">
        <f t="shared" si="37"/>
        <v>0</v>
      </c>
      <c r="CZ32" s="2">
        <f t="shared" si="38"/>
        <v>0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1010</v>
      </c>
      <c r="DV32" s="2" t="s">
        <v>40</v>
      </c>
      <c r="DW32" s="2" t="s">
        <v>40</v>
      </c>
      <c r="DX32" s="2">
        <v>1</v>
      </c>
      <c r="DY32" s="2"/>
      <c r="DZ32" s="2"/>
      <c r="EA32" s="2"/>
      <c r="EB32" s="2"/>
      <c r="EC32" s="2"/>
      <c r="ED32" s="2"/>
      <c r="EE32" s="2">
        <v>32653538</v>
      </c>
      <c r="EF32" s="2">
        <v>20</v>
      </c>
      <c r="EG32" s="2" t="s">
        <v>42</v>
      </c>
      <c r="EH32" s="2">
        <v>0</v>
      </c>
      <c r="EI32" s="2" t="s">
        <v>3</v>
      </c>
      <c r="EJ32" s="2">
        <v>1</v>
      </c>
      <c r="EK32" s="2">
        <v>1100</v>
      </c>
      <c r="EL32" s="2" t="s">
        <v>43</v>
      </c>
      <c r="EM32" s="2" t="s">
        <v>44</v>
      </c>
      <c r="EN32" s="2"/>
      <c r="EO32" s="2" t="s">
        <v>3</v>
      </c>
      <c r="EP32" s="2"/>
      <c r="EQ32" s="2">
        <v>0</v>
      </c>
      <c r="ER32" s="2">
        <v>0</v>
      </c>
      <c r="ES32" s="2">
        <v>1.06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39"/>
        <v>0</v>
      </c>
      <c r="FS32" s="2">
        <v>0</v>
      </c>
      <c r="FT32" s="2"/>
      <c r="FU32" s="2"/>
      <c r="FV32" s="2"/>
      <c r="FW32" s="2"/>
      <c r="FX32" s="2">
        <v>0</v>
      </c>
      <c r="FY32" s="2">
        <v>0</v>
      </c>
      <c r="FZ32" s="2"/>
      <c r="GA32" s="2" t="s">
        <v>48</v>
      </c>
      <c r="GB32" s="2"/>
      <c r="GC32" s="2"/>
      <c r="GD32" s="2">
        <v>0</v>
      </c>
      <c r="GE32" s="2"/>
      <c r="GF32" s="2">
        <v>-1298131255</v>
      </c>
      <c r="GG32" s="2">
        <v>2</v>
      </c>
      <c r="GH32" s="2">
        <v>4</v>
      </c>
      <c r="GI32" s="2">
        <v>-2</v>
      </c>
      <c r="GJ32" s="2">
        <v>0</v>
      </c>
      <c r="GK32" s="2">
        <f>ROUND(R32*(R12)/100,2)</f>
        <v>0</v>
      </c>
      <c r="GL32" s="2">
        <f t="shared" si="40"/>
        <v>0</v>
      </c>
      <c r="GM32" s="2">
        <f t="shared" si="41"/>
        <v>26.5</v>
      </c>
      <c r="GN32" s="2">
        <f t="shared" si="42"/>
        <v>26.5</v>
      </c>
      <c r="GO32" s="2">
        <f t="shared" si="43"/>
        <v>0</v>
      </c>
      <c r="GP32" s="2">
        <f t="shared" si="44"/>
        <v>0</v>
      </c>
      <c r="GQ32" s="2"/>
      <c r="GR32" s="2">
        <v>0</v>
      </c>
      <c r="GS32" s="2">
        <v>2</v>
      </c>
      <c r="GT32" s="2">
        <v>0</v>
      </c>
      <c r="GU32" s="2" t="s">
        <v>3</v>
      </c>
      <c r="GV32" s="2">
        <f t="shared" si="45"/>
        <v>0</v>
      </c>
      <c r="GW32" s="2">
        <v>1</v>
      </c>
      <c r="GX32" s="2">
        <f t="shared" si="46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E33" t="s">
        <v>46</v>
      </c>
      <c r="F33" t="str">
        <f>'1.Смета.или.Акт'!B72</f>
        <v>Прайс-лист</v>
      </c>
      <c r="G33" t="str">
        <f>'1.Смета.или.Акт'!C72</f>
        <v>Болт шестигранный 10*40</v>
      </c>
      <c r="H33" t="s">
        <v>40</v>
      </c>
      <c r="I33">
        <f>'1.Смета.или.Акт'!E72</f>
        <v>25</v>
      </c>
      <c r="J33">
        <v>0</v>
      </c>
      <c r="O33">
        <f t="shared" si="14"/>
        <v>198.75</v>
      </c>
      <c r="P33">
        <f t="shared" si="15"/>
        <v>198.75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34687671</v>
      </c>
      <c r="AB33">
        <f t="shared" si="25"/>
        <v>1.06</v>
      </c>
      <c r="AC33">
        <f t="shared" si="52"/>
        <v>1.06</v>
      </c>
      <c r="AD33">
        <f t="shared" si="47"/>
        <v>0</v>
      </c>
      <c r="AE33">
        <f t="shared" si="48"/>
        <v>0</v>
      </c>
      <c r="AF33">
        <f t="shared" si="49"/>
        <v>0</v>
      </c>
      <c r="AG33">
        <f t="shared" si="26"/>
        <v>0</v>
      </c>
      <c r="AH33">
        <f t="shared" si="50"/>
        <v>0</v>
      </c>
      <c r="AI33">
        <f t="shared" si="51"/>
        <v>0</v>
      </c>
      <c r="AJ33">
        <f t="shared" si="27"/>
        <v>0</v>
      </c>
      <c r="AK33">
        <v>1.06</v>
      </c>
      <c r="AL33" s="56">
        <f>'1.Смета.или.Акт'!F72</f>
        <v>1.06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f>'1.Смета.или.Акт'!J72</f>
        <v>7.5</v>
      </c>
      <c r="BD33" t="s">
        <v>3</v>
      </c>
      <c r="BE33" t="s">
        <v>3</v>
      </c>
      <c r="BF33" t="s">
        <v>3</v>
      </c>
      <c r="BG33" t="s">
        <v>3</v>
      </c>
      <c r="BH33">
        <v>3</v>
      </c>
      <c r="BI33">
        <v>1</v>
      </c>
      <c r="BJ33" t="s">
        <v>3</v>
      </c>
      <c r="BM33">
        <v>1100</v>
      </c>
      <c r="BN33">
        <v>0</v>
      </c>
      <c r="BO33" t="s">
        <v>3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0</v>
      </c>
      <c r="CA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28"/>
        <v>198.75</v>
      </c>
      <c r="CQ33">
        <f t="shared" si="29"/>
        <v>7.95</v>
      </c>
      <c r="CR33">
        <f t="shared" si="30"/>
        <v>0</v>
      </c>
      <c r="CS33">
        <f t="shared" si="31"/>
        <v>0</v>
      </c>
      <c r="CT33">
        <f t="shared" si="32"/>
        <v>0</v>
      </c>
      <c r="CU33">
        <f t="shared" si="33"/>
        <v>0</v>
      </c>
      <c r="CV33">
        <f t="shared" si="34"/>
        <v>0</v>
      </c>
      <c r="CW33">
        <f t="shared" si="35"/>
        <v>0</v>
      </c>
      <c r="CX33">
        <f t="shared" si="36"/>
        <v>0</v>
      </c>
      <c r="CY33">
        <f t="shared" si="37"/>
        <v>0</v>
      </c>
      <c r="CZ33">
        <f t="shared" si="38"/>
        <v>0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1010</v>
      </c>
      <c r="DV33" t="s">
        <v>40</v>
      </c>
      <c r="DW33" t="str">
        <f>'1.Смета.или.Акт'!D72</f>
        <v>шт.</v>
      </c>
      <c r="DX33">
        <v>1</v>
      </c>
      <c r="EE33">
        <v>32653538</v>
      </c>
      <c r="EF33">
        <v>20</v>
      </c>
      <c r="EG33" t="s">
        <v>42</v>
      </c>
      <c r="EH33">
        <v>0</v>
      </c>
      <c r="EI33" t="s">
        <v>3</v>
      </c>
      <c r="EJ33">
        <v>1</v>
      </c>
      <c r="EK33">
        <v>1100</v>
      </c>
      <c r="EL33" t="s">
        <v>43</v>
      </c>
      <c r="EM33" t="s">
        <v>44</v>
      </c>
      <c r="EO33" t="s">
        <v>3</v>
      </c>
      <c r="EQ33">
        <v>0</v>
      </c>
      <c r="ER33">
        <v>1.1499999999999999</v>
      </c>
      <c r="ES33" s="56">
        <f>'1.Смета.или.Акт'!F72</f>
        <v>1.06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5</v>
      </c>
      <c r="FC33">
        <v>0</v>
      </c>
      <c r="FD33">
        <v>18</v>
      </c>
      <c r="FF33">
        <v>7.94</v>
      </c>
      <c r="FQ33">
        <v>0</v>
      </c>
      <c r="FR33">
        <f t="shared" si="39"/>
        <v>0</v>
      </c>
      <c r="FS33">
        <v>0</v>
      </c>
      <c r="FX33">
        <v>0</v>
      </c>
      <c r="FY33">
        <v>0</v>
      </c>
      <c r="GA33" t="s">
        <v>48</v>
      </c>
      <c r="GD33">
        <v>0</v>
      </c>
      <c r="GF33">
        <v>-1298131255</v>
      </c>
      <c r="GG33">
        <v>2</v>
      </c>
      <c r="GH33">
        <v>3</v>
      </c>
      <c r="GI33">
        <v>4</v>
      </c>
      <c r="GJ33">
        <v>0</v>
      </c>
      <c r="GK33">
        <f>ROUND(R33*(S12)/100,2)</f>
        <v>0</v>
      </c>
      <c r="GL33">
        <f t="shared" si="40"/>
        <v>0</v>
      </c>
      <c r="GM33">
        <f t="shared" si="41"/>
        <v>198.75</v>
      </c>
      <c r="GN33">
        <f t="shared" si="42"/>
        <v>198.75</v>
      </c>
      <c r="GO33">
        <f t="shared" si="43"/>
        <v>0</v>
      </c>
      <c r="GP33">
        <f t="shared" si="44"/>
        <v>0</v>
      </c>
      <c r="GR33">
        <v>1</v>
      </c>
      <c r="GS33">
        <v>1</v>
      </c>
      <c r="GT33">
        <v>0</v>
      </c>
      <c r="GU33" t="s">
        <v>3</v>
      </c>
      <c r="GV33">
        <f t="shared" si="45"/>
        <v>0</v>
      </c>
      <c r="GW33">
        <v>1</v>
      </c>
      <c r="GX33">
        <f t="shared" si="46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/>
      <c r="D34" s="2"/>
      <c r="E34" s="2" t="s">
        <v>49</v>
      </c>
      <c r="F34" s="2" t="s">
        <v>38</v>
      </c>
      <c r="G34" s="2" t="s">
        <v>50</v>
      </c>
      <c r="H34" s="2" t="s">
        <v>40</v>
      </c>
      <c r="I34" s="2">
        <f>'1.Смета.или.Акт'!E75</f>
        <v>15</v>
      </c>
      <c r="J34" s="2">
        <v>0</v>
      </c>
      <c r="K34" s="2"/>
      <c r="L34" s="2"/>
      <c r="M34" s="2"/>
      <c r="N34" s="2"/>
      <c r="O34" s="2">
        <f t="shared" si="14"/>
        <v>19.350000000000001</v>
      </c>
      <c r="P34" s="2">
        <f t="shared" si="15"/>
        <v>19.350000000000001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34687670</v>
      </c>
      <c r="AB34" s="2">
        <f t="shared" si="25"/>
        <v>1.29</v>
      </c>
      <c r="AC34" s="2">
        <f t="shared" si="52"/>
        <v>1.29</v>
      </c>
      <c r="AD34" s="2">
        <f t="shared" si="47"/>
        <v>0</v>
      </c>
      <c r="AE34" s="2">
        <f t="shared" si="48"/>
        <v>0</v>
      </c>
      <c r="AF34" s="2">
        <f t="shared" si="49"/>
        <v>0</v>
      </c>
      <c r="AG34" s="2">
        <f t="shared" si="26"/>
        <v>0</v>
      </c>
      <c r="AH34" s="2">
        <f t="shared" si="50"/>
        <v>0</v>
      </c>
      <c r="AI34" s="2">
        <f t="shared" si="51"/>
        <v>0</v>
      </c>
      <c r="AJ34" s="2">
        <f t="shared" si="27"/>
        <v>0</v>
      </c>
      <c r="AK34" s="2">
        <v>1.29</v>
      </c>
      <c r="AL34" s="2">
        <v>1.29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3</v>
      </c>
      <c r="BI34" s="2">
        <v>1</v>
      </c>
      <c r="BJ34" s="2" t="s">
        <v>3</v>
      </c>
      <c r="BK34" s="2"/>
      <c r="BL34" s="2"/>
      <c r="BM34" s="2">
        <v>1100</v>
      </c>
      <c r="BN34" s="2">
        <v>0</v>
      </c>
      <c r="BO34" s="2" t="s">
        <v>3</v>
      </c>
      <c r="BP34" s="2">
        <v>0</v>
      </c>
      <c r="BQ34" s="2">
        <v>20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0</v>
      </c>
      <c r="CA34" s="2">
        <v>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28"/>
        <v>19.350000000000001</v>
      </c>
      <c r="CQ34" s="2">
        <f t="shared" si="29"/>
        <v>1.29</v>
      </c>
      <c r="CR34" s="2">
        <f t="shared" si="30"/>
        <v>0</v>
      </c>
      <c r="CS34" s="2">
        <f t="shared" si="31"/>
        <v>0</v>
      </c>
      <c r="CT34" s="2">
        <f t="shared" si="32"/>
        <v>0</v>
      </c>
      <c r="CU34" s="2">
        <f t="shared" si="33"/>
        <v>0</v>
      </c>
      <c r="CV34" s="2">
        <f t="shared" si="34"/>
        <v>0</v>
      </c>
      <c r="CW34" s="2">
        <f t="shared" si="35"/>
        <v>0</v>
      </c>
      <c r="CX34" s="2">
        <f t="shared" si="36"/>
        <v>0</v>
      </c>
      <c r="CY34" s="2">
        <f t="shared" si="37"/>
        <v>0</v>
      </c>
      <c r="CZ34" s="2">
        <f t="shared" si="38"/>
        <v>0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1010</v>
      </c>
      <c r="DV34" s="2" t="s">
        <v>40</v>
      </c>
      <c r="DW34" s="2" t="s">
        <v>40</v>
      </c>
      <c r="DX34" s="2">
        <v>1</v>
      </c>
      <c r="DY34" s="2"/>
      <c r="DZ34" s="2"/>
      <c r="EA34" s="2"/>
      <c r="EB34" s="2"/>
      <c r="EC34" s="2"/>
      <c r="ED34" s="2"/>
      <c r="EE34" s="2">
        <v>32653538</v>
      </c>
      <c r="EF34" s="2">
        <v>20</v>
      </c>
      <c r="EG34" s="2" t="s">
        <v>42</v>
      </c>
      <c r="EH34" s="2">
        <v>0</v>
      </c>
      <c r="EI34" s="2" t="s">
        <v>3</v>
      </c>
      <c r="EJ34" s="2">
        <v>1</v>
      </c>
      <c r="EK34" s="2">
        <v>1100</v>
      </c>
      <c r="EL34" s="2" t="s">
        <v>43</v>
      </c>
      <c r="EM34" s="2" t="s">
        <v>44</v>
      </c>
      <c r="EN34" s="2"/>
      <c r="EO34" s="2" t="s">
        <v>3</v>
      </c>
      <c r="EP34" s="2"/>
      <c r="EQ34" s="2">
        <v>0</v>
      </c>
      <c r="ER34" s="2">
        <v>0</v>
      </c>
      <c r="ES34" s="2">
        <v>1.29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>
        <v>0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39"/>
        <v>0</v>
      </c>
      <c r="FS34" s="2">
        <v>0</v>
      </c>
      <c r="FT34" s="2"/>
      <c r="FU34" s="2"/>
      <c r="FV34" s="2"/>
      <c r="FW34" s="2"/>
      <c r="FX34" s="2">
        <v>0</v>
      </c>
      <c r="FY34" s="2">
        <v>0</v>
      </c>
      <c r="FZ34" s="2"/>
      <c r="GA34" s="2" t="s">
        <v>51</v>
      </c>
      <c r="GB34" s="2"/>
      <c r="GC34" s="2"/>
      <c r="GD34" s="2">
        <v>0</v>
      </c>
      <c r="GE34" s="2"/>
      <c r="GF34" s="2">
        <v>1437541637</v>
      </c>
      <c r="GG34" s="2">
        <v>2</v>
      </c>
      <c r="GH34" s="2">
        <v>4</v>
      </c>
      <c r="GI34" s="2">
        <v>-2</v>
      </c>
      <c r="GJ34" s="2">
        <v>0</v>
      </c>
      <c r="GK34" s="2">
        <f>ROUND(R34*(R12)/100,2)</f>
        <v>0</v>
      </c>
      <c r="GL34" s="2">
        <f t="shared" si="40"/>
        <v>0</v>
      </c>
      <c r="GM34" s="2">
        <f t="shared" si="41"/>
        <v>19.350000000000001</v>
      </c>
      <c r="GN34" s="2">
        <f t="shared" si="42"/>
        <v>19.350000000000001</v>
      </c>
      <c r="GO34" s="2">
        <f t="shared" si="43"/>
        <v>0</v>
      </c>
      <c r="GP34" s="2">
        <f t="shared" si="44"/>
        <v>0</v>
      </c>
      <c r="GQ34" s="2"/>
      <c r="GR34" s="2">
        <v>0</v>
      </c>
      <c r="GS34" s="2">
        <v>2</v>
      </c>
      <c r="GT34" s="2">
        <v>0</v>
      </c>
      <c r="GU34" s="2" t="s">
        <v>3</v>
      </c>
      <c r="GV34" s="2">
        <f t="shared" si="45"/>
        <v>0</v>
      </c>
      <c r="GW34" s="2">
        <v>1</v>
      </c>
      <c r="GX34" s="2">
        <f t="shared" si="46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E35" t="s">
        <v>49</v>
      </c>
      <c r="F35" t="str">
        <f>'1.Смета.или.Акт'!B75</f>
        <v>Прайс-лист</v>
      </c>
      <c r="G35" t="str">
        <f>'1.Смета.или.Акт'!C75</f>
        <v>Болт шестигранный 12*40</v>
      </c>
      <c r="H35" t="s">
        <v>40</v>
      </c>
      <c r="I35">
        <f>'1.Смета.или.Акт'!E75</f>
        <v>15</v>
      </c>
      <c r="J35">
        <v>0</v>
      </c>
      <c r="O35">
        <f t="shared" si="14"/>
        <v>145.13</v>
      </c>
      <c r="P35">
        <f t="shared" si="15"/>
        <v>145.13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34687671</v>
      </c>
      <c r="AB35">
        <f t="shared" si="25"/>
        <v>1.29</v>
      </c>
      <c r="AC35">
        <f t="shared" si="52"/>
        <v>1.29</v>
      </c>
      <c r="AD35">
        <f t="shared" si="47"/>
        <v>0</v>
      </c>
      <c r="AE35">
        <f t="shared" si="48"/>
        <v>0</v>
      </c>
      <c r="AF35">
        <f t="shared" si="49"/>
        <v>0</v>
      </c>
      <c r="AG35">
        <f t="shared" si="26"/>
        <v>0</v>
      </c>
      <c r="AH35">
        <f t="shared" si="50"/>
        <v>0</v>
      </c>
      <c r="AI35">
        <f t="shared" si="51"/>
        <v>0</v>
      </c>
      <c r="AJ35">
        <f t="shared" si="27"/>
        <v>0</v>
      </c>
      <c r="AK35">
        <v>1.29</v>
      </c>
      <c r="AL35" s="56">
        <f>'1.Смета.или.Акт'!F75</f>
        <v>1.29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1</v>
      </c>
      <c r="BA35">
        <v>1</v>
      </c>
      <c r="BB35">
        <v>1</v>
      </c>
      <c r="BC35">
        <f>'1.Смета.или.Акт'!J75</f>
        <v>7.5</v>
      </c>
      <c r="BD35" t="s">
        <v>3</v>
      </c>
      <c r="BE35" t="s">
        <v>3</v>
      </c>
      <c r="BF35" t="s">
        <v>3</v>
      </c>
      <c r="BG35" t="s">
        <v>3</v>
      </c>
      <c r="BH35">
        <v>3</v>
      </c>
      <c r="BI35">
        <v>1</v>
      </c>
      <c r="BJ35" t="s">
        <v>3</v>
      </c>
      <c r="BM35">
        <v>1100</v>
      </c>
      <c r="BN35">
        <v>0</v>
      </c>
      <c r="BO35" t="s">
        <v>3</v>
      </c>
      <c r="BP35">
        <v>0</v>
      </c>
      <c r="BQ35">
        <v>20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0</v>
      </c>
      <c r="CA35">
        <v>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28"/>
        <v>145.13</v>
      </c>
      <c r="CQ35">
        <f t="shared" si="29"/>
        <v>9.6750000000000007</v>
      </c>
      <c r="CR35">
        <f t="shared" si="30"/>
        <v>0</v>
      </c>
      <c r="CS35">
        <f t="shared" si="31"/>
        <v>0</v>
      </c>
      <c r="CT35">
        <f t="shared" si="32"/>
        <v>0</v>
      </c>
      <c r="CU35">
        <f t="shared" si="33"/>
        <v>0</v>
      </c>
      <c r="CV35">
        <f t="shared" si="34"/>
        <v>0</v>
      </c>
      <c r="CW35">
        <f t="shared" si="35"/>
        <v>0</v>
      </c>
      <c r="CX35">
        <f t="shared" si="36"/>
        <v>0</v>
      </c>
      <c r="CY35">
        <f t="shared" si="37"/>
        <v>0</v>
      </c>
      <c r="CZ35">
        <f t="shared" si="38"/>
        <v>0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1010</v>
      </c>
      <c r="DV35" t="s">
        <v>40</v>
      </c>
      <c r="DW35" t="str">
        <f>'1.Смета.или.Акт'!D75</f>
        <v>шт.</v>
      </c>
      <c r="DX35">
        <v>1</v>
      </c>
      <c r="EE35">
        <v>32653538</v>
      </c>
      <c r="EF35">
        <v>20</v>
      </c>
      <c r="EG35" t="s">
        <v>42</v>
      </c>
      <c r="EH35">
        <v>0</v>
      </c>
      <c r="EI35" t="s">
        <v>3</v>
      </c>
      <c r="EJ35">
        <v>1</v>
      </c>
      <c r="EK35">
        <v>1100</v>
      </c>
      <c r="EL35" t="s">
        <v>43</v>
      </c>
      <c r="EM35" t="s">
        <v>44</v>
      </c>
      <c r="EO35" t="s">
        <v>3</v>
      </c>
      <c r="EQ35">
        <v>0</v>
      </c>
      <c r="ER35">
        <v>1.4</v>
      </c>
      <c r="ES35" s="56">
        <f>'1.Смета.или.Акт'!F75</f>
        <v>1.29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5</v>
      </c>
      <c r="FC35">
        <v>0</v>
      </c>
      <c r="FD35">
        <v>18</v>
      </c>
      <c r="FF35">
        <v>9.69</v>
      </c>
      <c r="FQ35">
        <v>0</v>
      </c>
      <c r="FR35">
        <f t="shared" si="39"/>
        <v>0</v>
      </c>
      <c r="FS35">
        <v>0</v>
      </c>
      <c r="FX35">
        <v>0</v>
      </c>
      <c r="FY35">
        <v>0</v>
      </c>
      <c r="GA35" t="s">
        <v>51</v>
      </c>
      <c r="GD35">
        <v>0</v>
      </c>
      <c r="GF35">
        <v>1437541637</v>
      </c>
      <c r="GG35">
        <v>2</v>
      </c>
      <c r="GH35">
        <v>3</v>
      </c>
      <c r="GI35">
        <v>4</v>
      </c>
      <c r="GJ35">
        <v>0</v>
      </c>
      <c r="GK35">
        <f>ROUND(R35*(S12)/100,2)</f>
        <v>0</v>
      </c>
      <c r="GL35">
        <f t="shared" si="40"/>
        <v>0</v>
      </c>
      <c r="GM35">
        <f t="shared" si="41"/>
        <v>145.13</v>
      </c>
      <c r="GN35">
        <f t="shared" si="42"/>
        <v>145.13</v>
      </c>
      <c r="GO35">
        <f t="shared" si="43"/>
        <v>0</v>
      </c>
      <c r="GP35">
        <f t="shared" si="44"/>
        <v>0</v>
      </c>
      <c r="GR35">
        <v>1</v>
      </c>
      <c r="GS35">
        <v>1</v>
      </c>
      <c r="GT35">
        <v>0</v>
      </c>
      <c r="GU35" t="s">
        <v>3</v>
      </c>
      <c r="GV35">
        <f t="shared" si="45"/>
        <v>0</v>
      </c>
      <c r="GW35">
        <v>1</v>
      </c>
      <c r="GX35">
        <f t="shared" si="46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/>
      <c r="D36" s="2"/>
      <c r="E36" s="2" t="s">
        <v>52</v>
      </c>
      <c r="F36" s="2" t="s">
        <v>38</v>
      </c>
      <c r="G36" s="2" t="s">
        <v>53</v>
      </c>
      <c r="H36" s="2" t="s">
        <v>40</v>
      </c>
      <c r="I36" s="2">
        <f>'1.Смета.или.Акт'!E78</f>
        <v>25</v>
      </c>
      <c r="J36" s="2">
        <v>0</v>
      </c>
      <c r="K36" s="2"/>
      <c r="L36" s="2"/>
      <c r="M36" s="2"/>
      <c r="N36" s="2"/>
      <c r="O36" s="2">
        <f t="shared" si="14"/>
        <v>8</v>
      </c>
      <c r="P36" s="2">
        <f t="shared" si="15"/>
        <v>8</v>
      </c>
      <c r="Q36" s="2">
        <f t="shared" si="16"/>
        <v>0</v>
      </c>
      <c r="R36" s="2">
        <f t="shared" si="17"/>
        <v>0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</v>
      </c>
      <c r="W36" s="2">
        <f t="shared" si="22"/>
        <v>0</v>
      </c>
      <c r="X36" s="2">
        <f t="shared" si="23"/>
        <v>0</v>
      </c>
      <c r="Y36" s="2">
        <f t="shared" si="24"/>
        <v>0</v>
      </c>
      <c r="Z36" s="2"/>
      <c r="AA36" s="2">
        <v>34687670</v>
      </c>
      <c r="AB36" s="2">
        <f t="shared" si="25"/>
        <v>0.32</v>
      </c>
      <c r="AC36" s="2">
        <f t="shared" si="52"/>
        <v>0.32</v>
      </c>
      <c r="AD36" s="2">
        <f t="shared" si="47"/>
        <v>0</v>
      </c>
      <c r="AE36" s="2">
        <f t="shared" si="48"/>
        <v>0</v>
      </c>
      <c r="AF36" s="2">
        <f t="shared" si="49"/>
        <v>0</v>
      </c>
      <c r="AG36" s="2">
        <f t="shared" si="26"/>
        <v>0</v>
      </c>
      <c r="AH36" s="2">
        <f t="shared" si="50"/>
        <v>0</v>
      </c>
      <c r="AI36" s="2">
        <f t="shared" si="51"/>
        <v>0</v>
      </c>
      <c r="AJ36" s="2">
        <f t="shared" si="27"/>
        <v>0</v>
      </c>
      <c r="AK36" s="2">
        <v>0.32</v>
      </c>
      <c r="AL36" s="2">
        <v>0.32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3</v>
      </c>
      <c r="BI36" s="2">
        <v>1</v>
      </c>
      <c r="BJ36" s="2" t="s">
        <v>3</v>
      </c>
      <c r="BK36" s="2"/>
      <c r="BL36" s="2"/>
      <c r="BM36" s="2">
        <v>1100</v>
      </c>
      <c r="BN36" s="2">
        <v>0</v>
      </c>
      <c r="BO36" s="2" t="s">
        <v>3</v>
      </c>
      <c r="BP36" s="2">
        <v>0</v>
      </c>
      <c r="BQ36" s="2">
        <v>20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0</v>
      </c>
      <c r="CA36" s="2">
        <v>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28"/>
        <v>8</v>
      </c>
      <c r="CQ36" s="2">
        <f t="shared" si="29"/>
        <v>0.32</v>
      </c>
      <c r="CR36" s="2">
        <f t="shared" si="30"/>
        <v>0</v>
      </c>
      <c r="CS36" s="2">
        <f t="shared" si="31"/>
        <v>0</v>
      </c>
      <c r="CT36" s="2">
        <f t="shared" si="32"/>
        <v>0</v>
      </c>
      <c r="CU36" s="2">
        <f t="shared" si="33"/>
        <v>0</v>
      </c>
      <c r="CV36" s="2">
        <f t="shared" si="34"/>
        <v>0</v>
      </c>
      <c r="CW36" s="2">
        <f t="shared" si="35"/>
        <v>0</v>
      </c>
      <c r="CX36" s="2">
        <f t="shared" si="36"/>
        <v>0</v>
      </c>
      <c r="CY36" s="2">
        <f t="shared" si="37"/>
        <v>0</v>
      </c>
      <c r="CZ36" s="2">
        <f t="shared" si="38"/>
        <v>0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1010</v>
      </c>
      <c r="DV36" s="2" t="s">
        <v>40</v>
      </c>
      <c r="DW36" s="2" t="s">
        <v>40</v>
      </c>
      <c r="DX36" s="2">
        <v>1</v>
      </c>
      <c r="DY36" s="2"/>
      <c r="DZ36" s="2"/>
      <c r="EA36" s="2"/>
      <c r="EB36" s="2"/>
      <c r="EC36" s="2"/>
      <c r="ED36" s="2"/>
      <c r="EE36" s="2">
        <v>32653538</v>
      </c>
      <c r="EF36" s="2">
        <v>20</v>
      </c>
      <c r="EG36" s="2" t="s">
        <v>42</v>
      </c>
      <c r="EH36" s="2">
        <v>0</v>
      </c>
      <c r="EI36" s="2" t="s">
        <v>3</v>
      </c>
      <c r="EJ36" s="2">
        <v>1</v>
      </c>
      <c r="EK36" s="2">
        <v>1100</v>
      </c>
      <c r="EL36" s="2" t="s">
        <v>43</v>
      </c>
      <c r="EM36" s="2" t="s">
        <v>44</v>
      </c>
      <c r="EN36" s="2"/>
      <c r="EO36" s="2" t="s">
        <v>3</v>
      </c>
      <c r="EP36" s="2"/>
      <c r="EQ36" s="2">
        <v>0</v>
      </c>
      <c r="ER36" s="2">
        <v>0</v>
      </c>
      <c r="ES36" s="2">
        <v>0.32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39"/>
        <v>0</v>
      </c>
      <c r="FS36" s="2">
        <v>0</v>
      </c>
      <c r="FT36" s="2"/>
      <c r="FU36" s="2"/>
      <c r="FV36" s="2"/>
      <c r="FW36" s="2"/>
      <c r="FX36" s="2">
        <v>0</v>
      </c>
      <c r="FY36" s="2">
        <v>0</v>
      </c>
      <c r="FZ36" s="2"/>
      <c r="GA36" s="2" t="s">
        <v>54</v>
      </c>
      <c r="GB36" s="2"/>
      <c r="GC36" s="2"/>
      <c r="GD36" s="2">
        <v>0</v>
      </c>
      <c r="GE36" s="2"/>
      <c r="GF36" s="2">
        <v>-2147136403</v>
      </c>
      <c r="GG36" s="2">
        <v>2</v>
      </c>
      <c r="GH36" s="2">
        <v>4</v>
      </c>
      <c r="GI36" s="2">
        <v>-2</v>
      </c>
      <c r="GJ36" s="2">
        <v>0</v>
      </c>
      <c r="GK36" s="2">
        <f>ROUND(R36*(R12)/100,2)</f>
        <v>0</v>
      </c>
      <c r="GL36" s="2">
        <f t="shared" si="40"/>
        <v>0</v>
      </c>
      <c r="GM36" s="2">
        <f t="shared" si="41"/>
        <v>8</v>
      </c>
      <c r="GN36" s="2">
        <f t="shared" si="42"/>
        <v>8</v>
      </c>
      <c r="GO36" s="2">
        <f t="shared" si="43"/>
        <v>0</v>
      </c>
      <c r="GP36" s="2">
        <f t="shared" si="44"/>
        <v>0</v>
      </c>
      <c r="GQ36" s="2"/>
      <c r="GR36" s="2">
        <v>0</v>
      </c>
      <c r="GS36" s="2">
        <v>2</v>
      </c>
      <c r="GT36" s="2">
        <v>0</v>
      </c>
      <c r="GU36" s="2" t="s">
        <v>3</v>
      </c>
      <c r="GV36" s="2">
        <f t="shared" si="45"/>
        <v>0</v>
      </c>
      <c r="GW36" s="2">
        <v>1</v>
      </c>
      <c r="GX36" s="2">
        <f t="shared" si="46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E37" t="s">
        <v>52</v>
      </c>
      <c r="F37" t="str">
        <f>'1.Смета.или.Акт'!B78</f>
        <v>Прайс-лист</v>
      </c>
      <c r="G37" t="str">
        <f>'1.Смета.или.Акт'!C78</f>
        <v>Гайка шестигр.DIN934 M10</v>
      </c>
      <c r="H37" t="s">
        <v>40</v>
      </c>
      <c r="I37">
        <f>'1.Смета.или.Акт'!E78</f>
        <v>25</v>
      </c>
      <c r="J37">
        <v>0</v>
      </c>
      <c r="O37">
        <f t="shared" si="14"/>
        <v>60</v>
      </c>
      <c r="P37">
        <f t="shared" si="15"/>
        <v>60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34687671</v>
      </c>
      <c r="AB37">
        <f t="shared" si="25"/>
        <v>0.32</v>
      </c>
      <c r="AC37">
        <f t="shared" si="52"/>
        <v>0.32</v>
      </c>
      <c r="AD37">
        <f t="shared" si="47"/>
        <v>0</v>
      </c>
      <c r="AE37">
        <f t="shared" si="48"/>
        <v>0</v>
      </c>
      <c r="AF37">
        <f t="shared" si="49"/>
        <v>0</v>
      </c>
      <c r="AG37">
        <f t="shared" si="26"/>
        <v>0</v>
      </c>
      <c r="AH37">
        <f t="shared" si="50"/>
        <v>0</v>
      </c>
      <c r="AI37">
        <f t="shared" si="51"/>
        <v>0</v>
      </c>
      <c r="AJ37">
        <f t="shared" si="27"/>
        <v>0</v>
      </c>
      <c r="AK37">
        <v>0.32</v>
      </c>
      <c r="AL37" s="56">
        <f>'1.Смета.или.Акт'!F78</f>
        <v>0.32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Z37">
        <v>1</v>
      </c>
      <c r="BA37">
        <v>1</v>
      </c>
      <c r="BB37">
        <v>1</v>
      </c>
      <c r="BC37">
        <f>'1.Смета.или.Акт'!J78</f>
        <v>7.5</v>
      </c>
      <c r="BD37" t="s">
        <v>3</v>
      </c>
      <c r="BE37" t="s">
        <v>3</v>
      </c>
      <c r="BF37" t="s">
        <v>3</v>
      </c>
      <c r="BG37" t="s">
        <v>3</v>
      </c>
      <c r="BH37">
        <v>3</v>
      </c>
      <c r="BI37">
        <v>1</v>
      </c>
      <c r="BJ37" t="s">
        <v>3</v>
      </c>
      <c r="BM37">
        <v>1100</v>
      </c>
      <c r="BN37">
        <v>0</v>
      </c>
      <c r="BO37" t="s">
        <v>3</v>
      </c>
      <c r="BP37">
        <v>0</v>
      </c>
      <c r="BQ37">
        <v>20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0</v>
      </c>
      <c r="CA37">
        <v>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28"/>
        <v>60</v>
      </c>
      <c r="CQ37">
        <f t="shared" si="29"/>
        <v>2.4</v>
      </c>
      <c r="CR37">
        <f t="shared" si="30"/>
        <v>0</v>
      </c>
      <c r="CS37">
        <f t="shared" si="31"/>
        <v>0</v>
      </c>
      <c r="CT37">
        <f t="shared" si="32"/>
        <v>0</v>
      </c>
      <c r="CU37">
        <f t="shared" si="33"/>
        <v>0</v>
      </c>
      <c r="CV37">
        <f t="shared" si="34"/>
        <v>0</v>
      </c>
      <c r="CW37">
        <f t="shared" si="35"/>
        <v>0</v>
      </c>
      <c r="CX37">
        <f t="shared" si="36"/>
        <v>0</v>
      </c>
      <c r="CY37">
        <f t="shared" si="37"/>
        <v>0</v>
      </c>
      <c r="CZ37">
        <f t="shared" si="38"/>
        <v>0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1010</v>
      </c>
      <c r="DV37" t="s">
        <v>40</v>
      </c>
      <c r="DW37" t="str">
        <f>'1.Смета.или.Акт'!D78</f>
        <v>шт.</v>
      </c>
      <c r="DX37">
        <v>1</v>
      </c>
      <c r="EE37">
        <v>32653538</v>
      </c>
      <c r="EF37">
        <v>20</v>
      </c>
      <c r="EG37" t="s">
        <v>42</v>
      </c>
      <c r="EH37">
        <v>0</v>
      </c>
      <c r="EI37" t="s">
        <v>3</v>
      </c>
      <c r="EJ37">
        <v>1</v>
      </c>
      <c r="EK37">
        <v>1100</v>
      </c>
      <c r="EL37" t="s">
        <v>43</v>
      </c>
      <c r="EM37" t="s">
        <v>44</v>
      </c>
      <c r="EO37" t="s">
        <v>3</v>
      </c>
      <c r="EQ37">
        <v>0</v>
      </c>
      <c r="ER37">
        <v>0.34</v>
      </c>
      <c r="ES37" s="56">
        <f>'1.Смета.или.Акт'!F78</f>
        <v>0.32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5</v>
      </c>
      <c r="FC37">
        <v>0</v>
      </c>
      <c r="FD37">
        <v>18</v>
      </c>
      <c r="FF37">
        <v>2.38</v>
      </c>
      <c r="FQ37">
        <v>0</v>
      </c>
      <c r="FR37">
        <f t="shared" si="39"/>
        <v>0</v>
      </c>
      <c r="FS37">
        <v>0</v>
      </c>
      <c r="FX37">
        <v>0</v>
      </c>
      <c r="FY37">
        <v>0</v>
      </c>
      <c r="GA37" t="s">
        <v>54</v>
      </c>
      <c r="GD37">
        <v>0</v>
      </c>
      <c r="GF37">
        <v>-2147136403</v>
      </c>
      <c r="GG37">
        <v>2</v>
      </c>
      <c r="GH37">
        <v>3</v>
      </c>
      <c r="GI37">
        <v>4</v>
      </c>
      <c r="GJ37">
        <v>0</v>
      </c>
      <c r="GK37">
        <f>ROUND(R37*(S12)/100,2)</f>
        <v>0</v>
      </c>
      <c r="GL37">
        <f t="shared" si="40"/>
        <v>0</v>
      </c>
      <c r="GM37">
        <f t="shared" si="41"/>
        <v>60</v>
      </c>
      <c r="GN37">
        <f t="shared" si="42"/>
        <v>60</v>
      </c>
      <c r="GO37">
        <f t="shared" si="43"/>
        <v>0</v>
      </c>
      <c r="GP37">
        <f t="shared" si="44"/>
        <v>0</v>
      </c>
      <c r="GR37">
        <v>1</v>
      </c>
      <c r="GS37">
        <v>1</v>
      </c>
      <c r="GT37">
        <v>0</v>
      </c>
      <c r="GU37" t="s">
        <v>3</v>
      </c>
      <c r="GV37">
        <f t="shared" si="45"/>
        <v>0</v>
      </c>
      <c r="GW37">
        <v>1</v>
      </c>
      <c r="GX37">
        <f t="shared" si="46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/>
      <c r="D38" s="2"/>
      <c r="E38" s="2" t="s">
        <v>55</v>
      </c>
      <c r="F38" s="2" t="s">
        <v>38</v>
      </c>
      <c r="G38" s="2" t="s">
        <v>53</v>
      </c>
      <c r="H38" s="2" t="s">
        <v>40</v>
      </c>
      <c r="I38" s="2">
        <f>'1.Смета.или.Акт'!E81</f>
        <v>15</v>
      </c>
      <c r="J38" s="2">
        <v>0</v>
      </c>
      <c r="K38" s="2"/>
      <c r="L38" s="2"/>
      <c r="M38" s="2"/>
      <c r="N38" s="2"/>
      <c r="O38" s="2">
        <f t="shared" si="14"/>
        <v>6.9</v>
      </c>
      <c r="P38" s="2">
        <f t="shared" si="15"/>
        <v>6.9</v>
      </c>
      <c r="Q38" s="2">
        <f t="shared" si="16"/>
        <v>0</v>
      </c>
      <c r="R38" s="2">
        <f t="shared" si="17"/>
        <v>0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</v>
      </c>
      <c r="W38" s="2">
        <f t="shared" si="22"/>
        <v>0</v>
      </c>
      <c r="X38" s="2">
        <f t="shared" si="23"/>
        <v>0</v>
      </c>
      <c r="Y38" s="2">
        <f t="shared" si="24"/>
        <v>0</v>
      </c>
      <c r="Z38" s="2"/>
      <c r="AA38" s="2">
        <v>34687670</v>
      </c>
      <c r="AB38" s="2">
        <f t="shared" si="25"/>
        <v>0.46</v>
      </c>
      <c r="AC38" s="2">
        <f t="shared" si="52"/>
        <v>0.46</v>
      </c>
      <c r="AD38" s="2">
        <f t="shared" si="47"/>
        <v>0</v>
      </c>
      <c r="AE38" s="2">
        <f t="shared" si="48"/>
        <v>0</v>
      </c>
      <c r="AF38" s="2">
        <f t="shared" si="49"/>
        <v>0</v>
      </c>
      <c r="AG38" s="2">
        <f t="shared" si="26"/>
        <v>0</v>
      </c>
      <c r="AH38" s="2">
        <f t="shared" si="50"/>
        <v>0</v>
      </c>
      <c r="AI38" s="2">
        <f t="shared" si="51"/>
        <v>0</v>
      </c>
      <c r="AJ38" s="2">
        <f t="shared" si="27"/>
        <v>0</v>
      </c>
      <c r="AK38" s="2">
        <v>0.46</v>
      </c>
      <c r="AL38" s="2">
        <v>0.46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3</v>
      </c>
      <c r="BI38" s="2">
        <v>1</v>
      </c>
      <c r="BJ38" s="2" t="s">
        <v>3</v>
      </c>
      <c r="BK38" s="2"/>
      <c r="BL38" s="2"/>
      <c r="BM38" s="2">
        <v>1100</v>
      </c>
      <c r="BN38" s="2">
        <v>0</v>
      </c>
      <c r="BO38" s="2" t="s">
        <v>3</v>
      </c>
      <c r="BP38" s="2">
        <v>0</v>
      </c>
      <c r="BQ38" s="2">
        <v>20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0</v>
      </c>
      <c r="CA38" s="2">
        <v>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28"/>
        <v>6.9</v>
      </c>
      <c r="CQ38" s="2">
        <f t="shared" si="29"/>
        <v>0.46</v>
      </c>
      <c r="CR38" s="2">
        <f t="shared" si="30"/>
        <v>0</v>
      </c>
      <c r="CS38" s="2">
        <f t="shared" si="31"/>
        <v>0</v>
      </c>
      <c r="CT38" s="2">
        <f t="shared" si="32"/>
        <v>0</v>
      </c>
      <c r="CU38" s="2">
        <f t="shared" si="33"/>
        <v>0</v>
      </c>
      <c r="CV38" s="2">
        <f t="shared" si="34"/>
        <v>0</v>
      </c>
      <c r="CW38" s="2">
        <f t="shared" si="35"/>
        <v>0</v>
      </c>
      <c r="CX38" s="2">
        <f t="shared" si="36"/>
        <v>0</v>
      </c>
      <c r="CY38" s="2">
        <f t="shared" si="37"/>
        <v>0</v>
      </c>
      <c r="CZ38" s="2">
        <f t="shared" si="38"/>
        <v>0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1010</v>
      </c>
      <c r="DV38" s="2" t="s">
        <v>40</v>
      </c>
      <c r="DW38" s="2" t="s">
        <v>40</v>
      </c>
      <c r="DX38" s="2">
        <v>1</v>
      </c>
      <c r="DY38" s="2"/>
      <c r="DZ38" s="2"/>
      <c r="EA38" s="2"/>
      <c r="EB38" s="2"/>
      <c r="EC38" s="2"/>
      <c r="ED38" s="2"/>
      <c r="EE38" s="2">
        <v>32653538</v>
      </c>
      <c r="EF38" s="2">
        <v>20</v>
      </c>
      <c r="EG38" s="2" t="s">
        <v>42</v>
      </c>
      <c r="EH38" s="2">
        <v>0</v>
      </c>
      <c r="EI38" s="2" t="s">
        <v>3</v>
      </c>
      <c r="EJ38" s="2">
        <v>1</v>
      </c>
      <c r="EK38" s="2">
        <v>1100</v>
      </c>
      <c r="EL38" s="2" t="s">
        <v>43</v>
      </c>
      <c r="EM38" s="2" t="s">
        <v>44</v>
      </c>
      <c r="EN38" s="2"/>
      <c r="EO38" s="2" t="s">
        <v>3</v>
      </c>
      <c r="EP38" s="2"/>
      <c r="EQ38" s="2">
        <v>0</v>
      </c>
      <c r="ER38" s="2">
        <v>0</v>
      </c>
      <c r="ES38" s="2">
        <v>0.46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39"/>
        <v>0</v>
      </c>
      <c r="FS38" s="2">
        <v>0</v>
      </c>
      <c r="FT38" s="2"/>
      <c r="FU38" s="2"/>
      <c r="FV38" s="2"/>
      <c r="FW38" s="2"/>
      <c r="FX38" s="2">
        <v>0</v>
      </c>
      <c r="FY38" s="2">
        <v>0</v>
      </c>
      <c r="FZ38" s="2"/>
      <c r="GA38" s="2" t="s">
        <v>56</v>
      </c>
      <c r="GB38" s="2"/>
      <c r="GC38" s="2"/>
      <c r="GD38" s="2">
        <v>0</v>
      </c>
      <c r="GE38" s="2"/>
      <c r="GF38" s="2">
        <v>-2147136403</v>
      </c>
      <c r="GG38" s="2">
        <v>2</v>
      </c>
      <c r="GH38" s="2">
        <v>4</v>
      </c>
      <c r="GI38" s="2">
        <v>-2</v>
      </c>
      <c r="GJ38" s="2">
        <v>0</v>
      </c>
      <c r="GK38" s="2">
        <f>ROUND(R38*(R12)/100,2)</f>
        <v>0</v>
      </c>
      <c r="GL38" s="2">
        <f t="shared" si="40"/>
        <v>0</v>
      </c>
      <c r="GM38" s="2">
        <f t="shared" si="41"/>
        <v>6.9</v>
      </c>
      <c r="GN38" s="2">
        <f t="shared" si="42"/>
        <v>6.9</v>
      </c>
      <c r="GO38" s="2">
        <f t="shared" si="43"/>
        <v>0</v>
      </c>
      <c r="GP38" s="2">
        <f t="shared" si="44"/>
        <v>0</v>
      </c>
      <c r="GQ38" s="2"/>
      <c r="GR38" s="2">
        <v>0</v>
      </c>
      <c r="GS38" s="2">
        <v>2</v>
      </c>
      <c r="GT38" s="2">
        <v>0</v>
      </c>
      <c r="GU38" s="2" t="s">
        <v>3</v>
      </c>
      <c r="GV38" s="2">
        <f t="shared" si="45"/>
        <v>0</v>
      </c>
      <c r="GW38" s="2">
        <v>1</v>
      </c>
      <c r="GX38" s="2">
        <f t="shared" si="46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E39" t="s">
        <v>55</v>
      </c>
      <c r="F39" t="str">
        <f>'1.Смета.или.Акт'!B81</f>
        <v>Прайс-лист</v>
      </c>
      <c r="G39" t="str">
        <f>'1.Смета.или.Акт'!C81</f>
        <v>Гайка шестигр.DIN934 M10</v>
      </c>
      <c r="H39" t="s">
        <v>40</v>
      </c>
      <c r="I39">
        <f>'1.Смета.или.Акт'!E81</f>
        <v>15</v>
      </c>
      <c r="J39">
        <v>0</v>
      </c>
      <c r="O39">
        <f t="shared" si="14"/>
        <v>51.75</v>
      </c>
      <c r="P39">
        <f t="shared" si="15"/>
        <v>51.75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34687671</v>
      </c>
      <c r="AB39">
        <f t="shared" si="25"/>
        <v>0.46</v>
      </c>
      <c r="AC39">
        <f t="shared" si="52"/>
        <v>0.46</v>
      </c>
      <c r="AD39">
        <f t="shared" si="47"/>
        <v>0</v>
      </c>
      <c r="AE39">
        <f t="shared" si="48"/>
        <v>0</v>
      </c>
      <c r="AF39">
        <f t="shared" si="49"/>
        <v>0</v>
      </c>
      <c r="AG39">
        <f t="shared" si="26"/>
        <v>0</v>
      </c>
      <c r="AH39">
        <f t="shared" si="50"/>
        <v>0</v>
      </c>
      <c r="AI39">
        <f t="shared" si="51"/>
        <v>0</v>
      </c>
      <c r="AJ39">
        <f t="shared" si="27"/>
        <v>0</v>
      </c>
      <c r="AK39">
        <v>0.46</v>
      </c>
      <c r="AL39" s="56">
        <f>'1.Смета.или.Акт'!F81</f>
        <v>0.46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f>'1.Смета.или.Акт'!J81</f>
        <v>7.5</v>
      </c>
      <c r="BD39" t="s">
        <v>3</v>
      </c>
      <c r="BE39" t="s">
        <v>3</v>
      </c>
      <c r="BF39" t="s">
        <v>3</v>
      </c>
      <c r="BG39" t="s">
        <v>3</v>
      </c>
      <c r="BH39">
        <v>3</v>
      </c>
      <c r="BI39">
        <v>1</v>
      </c>
      <c r="BJ39" t="s">
        <v>3</v>
      </c>
      <c r="BM39">
        <v>1100</v>
      </c>
      <c r="BN39">
        <v>0</v>
      </c>
      <c r="BO39" t="s">
        <v>3</v>
      </c>
      <c r="BP39">
        <v>0</v>
      </c>
      <c r="BQ39">
        <v>20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0</v>
      </c>
      <c r="CA39">
        <v>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28"/>
        <v>51.75</v>
      </c>
      <c r="CQ39">
        <f t="shared" si="29"/>
        <v>3.45</v>
      </c>
      <c r="CR39">
        <f t="shared" si="30"/>
        <v>0</v>
      </c>
      <c r="CS39">
        <f t="shared" si="31"/>
        <v>0</v>
      </c>
      <c r="CT39">
        <f t="shared" si="32"/>
        <v>0</v>
      </c>
      <c r="CU39">
        <f t="shared" si="33"/>
        <v>0</v>
      </c>
      <c r="CV39">
        <f t="shared" si="34"/>
        <v>0</v>
      </c>
      <c r="CW39">
        <f t="shared" si="35"/>
        <v>0</v>
      </c>
      <c r="CX39">
        <f t="shared" si="36"/>
        <v>0</v>
      </c>
      <c r="CY39">
        <f t="shared" si="37"/>
        <v>0</v>
      </c>
      <c r="CZ39">
        <f t="shared" si="38"/>
        <v>0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1010</v>
      </c>
      <c r="DV39" t="s">
        <v>40</v>
      </c>
      <c r="DW39" t="str">
        <f>'1.Смета.или.Акт'!D81</f>
        <v>шт.</v>
      </c>
      <c r="DX39">
        <v>1</v>
      </c>
      <c r="EE39">
        <v>32653538</v>
      </c>
      <c r="EF39">
        <v>20</v>
      </c>
      <c r="EG39" t="s">
        <v>42</v>
      </c>
      <c r="EH39">
        <v>0</v>
      </c>
      <c r="EI39" t="s">
        <v>3</v>
      </c>
      <c r="EJ39">
        <v>1</v>
      </c>
      <c r="EK39">
        <v>1100</v>
      </c>
      <c r="EL39" t="s">
        <v>43</v>
      </c>
      <c r="EM39" t="s">
        <v>44</v>
      </c>
      <c r="EO39" t="s">
        <v>3</v>
      </c>
      <c r="EQ39">
        <v>0</v>
      </c>
      <c r="ER39">
        <v>0.5</v>
      </c>
      <c r="ES39" s="56">
        <f>'1.Смета.или.Акт'!F81</f>
        <v>0.46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5</v>
      </c>
      <c r="FC39">
        <v>0</v>
      </c>
      <c r="FD39">
        <v>18</v>
      </c>
      <c r="FF39">
        <v>3.44</v>
      </c>
      <c r="FQ39">
        <v>0</v>
      </c>
      <c r="FR39">
        <f t="shared" si="39"/>
        <v>0</v>
      </c>
      <c r="FS39">
        <v>0</v>
      </c>
      <c r="FX39">
        <v>0</v>
      </c>
      <c r="FY39">
        <v>0</v>
      </c>
      <c r="GA39" t="s">
        <v>56</v>
      </c>
      <c r="GD39">
        <v>0</v>
      </c>
      <c r="GF39">
        <v>-2147136403</v>
      </c>
      <c r="GG39">
        <v>2</v>
      </c>
      <c r="GH39">
        <v>3</v>
      </c>
      <c r="GI39">
        <v>4</v>
      </c>
      <c r="GJ39">
        <v>0</v>
      </c>
      <c r="GK39">
        <f>ROUND(R39*(S12)/100,2)</f>
        <v>0</v>
      </c>
      <c r="GL39">
        <f t="shared" si="40"/>
        <v>0</v>
      </c>
      <c r="GM39">
        <f t="shared" si="41"/>
        <v>51.75</v>
      </c>
      <c r="GN39">
        <f t="shared" si="42"/>
        <v>51.75</v>
      </c>
      <c r="GO39">
        <f t="shared" si="43"/>
        <v>0</v>
      </c>
      <c r="GP39">
        <f t="shared" si="44"/>
        <v>0</v>
      </c>
      <c r="GR39">
        <v>1</v>
      </c>
      <c r="GS39">
        <v>1</v>
      </c>
      <c r="GT39">
        <v>0</v>
      </c>
      <c r="GU39" t="s">
        <v>3</v>
      </c>
      <c r="GV39">
        <f t="shared" si="45"/>
        <v>0</v>
      </c>
      <c r="GW39">
        <v>1</v>
      </c>
      <c r="GX39">
        <f t="shared" si="46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/>
      <c r="D40" s="2"/>
      <c r="E40" s="2" t="s">
        <v>57</v>
      </c>
      <c r="F40" s="2" t="s">
        <v>38</v>
      </c>
      <c r="G40" s="2" t="s">
        <v>58</v>
      </c>
      <c r="H40" s="2" t="s">
        <v>40</v>
      </c>
      <c r="I40" s="2">
        <f>'1.Смета.или.Акт'!E84</f>
        <v>4</v>
      </c>
      <c r="J40" s="2">
        <v>0</v>
      </c>
      <c r="K40" s="2"/>
      <c r="L40" s="2"/>
      <c r="M40" s="2"/>
      <c r="N40" s="2"/>
      <c r="O40" s="2">
        <f t="shared" si="14"/>
        <v>11.76</v>
      </c>
      <c r="P40" s="2">
        <f t="shared" si="15"/>
        <v>11.76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34687670</v>
      </c>
      <c r="AB40" s="2">
        <f t="shared" si="25"/>
        <v>2.94</v>
      </c>
      <c r="AC40" s="2">
        <f t="shared" si="52"/>
        <v>2.94</v>
      </c>
      <c r="AD40" s="2">
        <f t="shared" si="47"/>
        <v>0</v>
      </c>
      <c r="AE40" s="2">
        <f t="shared" si="48"/>
        <v>0</v>
      </c>
      <c r="AF40" s="2">
        <f t="shared" si="49"/>
        <v>0</v>
      </c>
      <c r="AG40" s="2">
        <f t="shared" si="26"/>
        <v>0</v>
      </c>
      <c r="AH40" s="2">
        <f t="shared" si="50"/>
        <v>0</v>
      </c>
      <c r="AI40" s="2">
        <f t="shared" si="51"/>
        <v>0</v>
      </c>
      <c r="AJ40" s="2">
        <f t="shared" si="27"/>
        <v>0</v>
      </c>
      <c r="AK40" s="2">
        <v>2.94</v>
      </c>
      <c r="AL40" s="2">
        <v>2.94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3</v>
      </c>
      <c r="BI40" s="2">
        <v>1</v>
      </c>
      <c r="BJ40" s="2" t="s">
        <v>3</v>
      </c>
      <c r="BK40" s="2"/>
      <c r="BL40" s="2"/>
      <c r="BM40" s="2">
        <v>1100</v>
      </c>
      <c r="BN40" s="2">
        <v>0</v>
      </c>
      <c r="BO40" s="2" t="s">
        <v>3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0</v>
      </c>
      <c r="CA40" s="2">
        <v>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28"/>
        <v>11.76</v>
      </c>
      <c r="CQ40" s="2">
        <f t="shared" si="29"/>
        <v>2.94</v>
      </c>
      <c r="CR40" s="2">
        <f t="shared" si="30"/>
        <v>0</v>
      </c>
      <c r="CS40" s="2">
        <f t="shared" si="31"/>
        <v>0</v>
      </c>
      <c r="CT40" s="2">
        <f t="shared" si="32"/>
        <v>0</v>
      </c>
      <c r="CU40" s="2">
        <f t="shared" si="33"/>
        <v>0</v>
      </c>
      <c r="CV40" s="2">
        <f t="shared" si="34"/>
        <v>0</v>
      </c>
      <c r="CW40" s="2">
        <f t="shared" si="35"/>
        <v>0</v>
      </c>
      <c r="CX40" s="2">
        <f t="shared" si="36"/>
        <v>0</v>
      </c>
      <c r="CY40" s="2">
        <f t="shared" si="37"/>
        <v>0</v>
      </c>
      <c r="CZ40" s="2">
        <f t="shared" si="38"/>
        <v>0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1010</v>
      </c>
      <c r="DV40" s="2" t="s">
        <v>40</v>
      </c>
      <c r="DW40" s="2" t="s">
        <v>40</v>
      </c>
      <c r="DX40" s="2">
        <v>1</v>
      </c>
      <c r="DY40" s="2"/>
      <c r="DZ40" s="2"/>
      <c r="EA40" s="2"/>
      <c r="EB40" s="2"/>
      <c r="EC40" s="2"/>
      <c r="ED40" s="2"/>
      <c r="EE40" s="2">
        <v>32653538</v>
      </c>
      <c r="EF40" s="2">
        <v>20</v>
      </c>
      <c r="EG40" s="2" t="s">
        <v>42</v>
      </c>
      <c r="EH40" s="2">
        <v>0</v>
      </c>
      <c r="EI40" s="2" t="s">
        <v>3</v>
      </c>
      <c r="EJ40" s="2">
        <v>1</v>
      </c>
      <c r="EK40" s="2">
        <v>1100</v>
      </c>
      <c r="EL40" s="2" t="s">
        <v>43</v>
      </c>
      <c r="EM40" s="2" t="s">
        <v>44</v>
      </c>
      <c r="EN40" s="2"/>
      <c r="EO40" s="2" t="s">
        <v>3</v>
      </c>
      <c r="EP40" s="2"/>
      <c r="EQ40" s="2">
        <v>0</v>
      </c>
      <c r="ER40" s="2">
        <v>0</v>
      </c>
      <c r="ES40" s="2">
        <v>2.94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39"/>
        <v>0</v>
      </c>
      <c r="FS40" s="2">
        <v>0</v>
      </c>
      <c r="FT40" s="2"/>
      <c r="FU40" s="2"/>
      <c r="FV40" s="2"/>
      <c r="FW40" s="2"/>
      <c r="FX40" s="2">
        <v>0</v>
      </c>
      <c r="FY40" s="2">
        <v>0</v>
      </c>
      <c r="FZ40" s="2"/>
      <c r="GA40" s="2" t="s">
        <v>59</v>
      </c>
      <c r="GB40" s="2"/>
      <c r="GC40" s="2"/>
      <c r="GD40" s="2">
        <v>0</v>
      </c>
      <c r="GE40" s="2"/>
      <c r="GF40" s="2">
        <v>-551827137</v>
      </c>
      <c r="GG40" s="2">
        <v>2</v>
      </c>
      <c r="GH40" s="2">
        <v>4</v>
      </c>
      <c r="GI40" s="2">
        <v>-2</v>
      </c>
      <c r="GJ40" s="2">
        <v>0</v>
      </c>
      <c r="GK40" s="2">
        <f>ROUND(R40*(R12)/100,2)</f>
        <v>0</v>
      </c>
      <c r="GL40" s="2">
        <f t="shared" si="40"/>
        <v>0</v>
      </c>
      <c r="GM40" s="2">
        <f t="shared" si="41"/>
        <v>11.76</v>
      </c>
      <c r="GN40" s="2">
        <f t="shared" si="42"/>
        <v>11.76</v>
      </c>
      <c r="GO40" s="2">
        <f t="shared" si="43"/>
        <v>0</v>
      </c>
      <c r="GP40" s="2">
        <f t="shared" si="44"/>
        <v>0</v>
      </c>
      <c r="GQ40" s="2"/>
      <c r="GR40" s="2">
        <v>0</v>
      </c>
      <c r="GS40" s="2">
        <v>2</v>
      </c>
      <c r="GT40" s="2">
        <v>0</v>
      </c>
      <c r="GU40" s="2" t="s">
        <v>3</v>
      </c>
      <c r="GV40" s="2">
        <f t="shared" si="45"/>
        <v>0</v>
      </c>
      <c r="GW40" s="2">
        <v>1</v>
      </c>
      <c r="GX40" s="2">
        <f t="shared" si="46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E41" t="s">
        <v>57</v>
      </c>
      <c r="F41" t="str">
        <f>'1.Смета.или.Акт'!B84</f>
        <v>Прайс-лист</v>
      </c>
      <c r="G41" t="str">
        <f>'1.Смета.или.Акт'!C84</f>
        <v>Круг отрезной 125х1,0х22</v>
      </c>
      <c r="H41" t="s">
        <v>40</v>
      </c>
      <c r="I41">
        <f>'1.Смета.или.Акт'!E84</f>
        <v>4</v>
      </c>
      <c r="J41">
        <v>0</v>
      </c>
      <c r="O41">
        <f t="shared" si="14"/>
        <v>88.2</v>
      </c>
      <c r="P41">
        <f t="shared" si="15"/>
        <v>88.2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34687671</v>
      </c>
      <c r="AB41">
        <f t="shared" si="25"/>
        <v>2.94</v>
      </c>
      <c r="AC41">
        <f t="shared" si="52"/>
        <v>2.94</v>
      </c>
      <c r="AD41">
        <f t="shared" si="47"/>
        <v>0</v>
      </c>
      <c r="AE41">
        <f t="shared" si="48"/>
        <v>0</v>
      </c>
      <c r="AF41">
        <f t="shared" si="49"/>
        <v>0</v>
      </c>
      <c r="AG41">
        <f t="shared" si="26"/>
        <v>0</v>
      </c>
      <c r="AH41">
        <f t="shared" si="50"/>
        <v>0</v>
      </c>
      <c r="AI41">
        <f t="shared" si="51"/>
        <v>0</v>
      </c>
      <c r="AJ41">
        <f t="shared" si="27"/>
        <v>0</v>
      </c>
      <c r="AK41">
        <v>2.94</v>
      </c>
      <c r="AL41" s="56">
        <f>'1.Смета.или.Акт'!F84</f>
        <v>2.94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f>'1.Смета.или.Акт'!J84</f>
        <v>7.5</v>
      </c>
      <c r="BD41" t="s">
        <v>3</v>
      </c>
      <c r="BE41" t="s">
        <v>3</v>
      </c>
      <c r="BF41" t="s">
        <v>3</v>
      </c>
      <c r="BG41" t="s">
        <v>3</v>
      </c>
      <c r="BH41">
        <v>3</v>
      </c>
      <c r="BI41">
        <v>1</v>
      </c>
      <c r="BJ41" t="s">
        <v>3</v>
      </c>
      <c r="BM41">
        <v>1100</v>
      </c>
      <c r="BN41">
        <v>0</v>
      </c>
      <c r="BO41" t="s">
        <v>3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0</v>
      </c>
      <c r="CA41">
        <v>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28"/>
        <v>88.2</v>
      </c>
      <c r="CQ41">
        <f t="shared" si="29"/>
        <v>22.05</v>
      </c>
      <c r="CR41">
        <f t="shared" si="30"/>
        <v>0</v>
      </c>
      <c r="CS41">
        <f t="shared" si="31"/>
        <v>0</v>
      </c>
      <c r="CT41">
        <f t="shared" si="32"/>
        <v>0</v>
      </c>
      <c r="CU41">
        <f t="shared" si="33"/>
        <v>0</v>
      </c>
      <c r="CV41">
        <f t="shared" si="34"/>
        <v>0</v>
      </c>
      <c r="CW41">
        <f t="shared" si="35"/>
        <v>0</v>
      </c>
      <c r="CX41">
        <f t="shared" si="36"/>
        <v>0</v>
      </c>
      <c r="CY41">
        <f t="shared" si="37"/>
        <v>0</v>
      </c>
      <c r="CZ41">
        <f t="shared" si="38"/>
        <v>0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1010</v>
      </c>
      <c r="DV41" t="s">
        <v>40</v>
      </c>
      <c r="DW41" t="str">
        <f>'1.Смета.или.Акт'!D84</f>
        <v>шт.</v>
      </c>
      <c r="DX41">
        <v>1</v>
      </c>
      <c r="EE41">
        <v>32653538</v>
      </c>
      <c r="EF41">
        <v>20</v>
      </c>
      <c r="EG41" t="s">
        <v>42</v>
      </c>
      <c r="EH41">
        <v>0</v>
      </c>
      <c r="EI41" t="s">
        <v>3</v>
      </c>
      <c r="EJ41">
        <v>1</v>
      </c>
      <c r="EK41">
        <v>1100</v>
      </c>
      <c r="EL41" t="s">
        <v>43</v>
      </c>
      <c r="EM41" t="s">
        <v>44</v>
      </c>
      <c r="EO41" t="s">
        <v>3</v>
      </c>
      <c r="EQ41">
        <v>0</v>
      </c>
      <c r="ER41">
        <v>3.19</v>
      </c>
      <c r="ES41" s="56">
        <f>'1.Смета.или.Акт'!F84</f>
        <v>2.94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5</v>
      </c>
      <c r="FC41">
        <v>0</v>
      </c>
      <c r="FD41">
        <v>18</v>
      </c>
      <c r="FF41">
        <v>22.03</v>
      </c>
      <c r="FQ41">
        <v>0</v>
      </c>
      <c r="FR41">
        <f t="shared" si="39"/>
        <v>0</v>
      </c>
      <c r="FS41">
        <v>0</v>
      </c>
      <c r="FX41">
        <v>0</v>
      </c>
      <c r="FY41">
        <v>0</v>
      </c>
      <c r="GA41" t="s">
        <v>59</v>
      </c>
      <c r="GD41">
        <v>0</v>
      </c>
      <c r="GF41">
        <v>-551827137</v>
      </c>
      <c r="GG41">
        <v>2</v>
      </c>
      <c r="GH41">
        <v>3</v>
      </c>
      <c r="GI41">
        <v>4</v>
      </c>
      <c r="GJ41">
        <v>0</v>
      </c>
      <c r="GK41">
        <f>ROUND(R41*(S12)/100,2)</f>
        <v>0</v>
      </c>
      <c r="GL41">
        <f t="shared" si="40"/>
        <v>0</v>
      </c>
      <c r="GM41">
        <f t="shared" si="41"/>
        <v>88.2</v>
      </c>
      <c r="GN41">
        <f t="shared" si="42"/>
        <v>88.2</v>
      </c>
      <c r="GO41">
        <f t="shared" si="43"/>
        <v>0</v>
      </c>
      <c r="GP41">
        <f t="shared" si="44"/>
        <v>0</v>
      </c>
      <c r="GR41">
        <v>1</v>
      </c>
      <c r="GS41">
        <v>1</v>
      </c>
      <c r="GT41">
        <v>0</v>
      </c>
      <c r="GU41" t="s">
        <v>3</v>
      </c>
      <c r="GV41">
        <f t="shared" si="45"/>
        <v>0</v>
      </c>
      <c r="GW41">
        <v>1</v>
      </c>
      <c r="GX41">
        <f t="shared" si="46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/>
      <c r="D42" s="2"/>
      <c r="E42" s="2" t="s">
        <v>60</v>
      </c>
      <c r="F42" s="2" t="s">
        <v>38</v>
      </c>
      <c r="G42" s="2" t="s">
        <v>61</v>
      </c>
      <c r="H42" s="2" t="s">
        <v>62</v>
      </c>
      <c r="I42" s="2">
        <f>'1.Смета.или.Акт'!E87</f>
        <v>11.5</v>
      </c>
      <c r="J42" s="2">
        <v>0</v>
      </c>
      <c r="K42" s="2"/>
      <c r="L42" s="2"/>
      <c r="M42" s="2"/>
      <c r="N42" s="2"/>
      <c r="O42" s="2">
        <f t="shared" si="14"/>
        <v>69.81</v>
      </c>
      <c r="P42" s="2">
        <f t="shared" si="15"/>
        <v>69.81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34687670</v>
      </c>
      <c r="AB42" s="2">
        <f t="shared" si="25"/>
        <v>6.07</v>
      </c>
      <c r="AC42" s="2">
        <f t="shared" si="52"/>
        <v>6.07</v>
      </c>
      <c r="AD42" s="2">
        <f t="shared" si="47"/>
        <v>0</v>
      </c>
      <c r="AE42" s="2">
        <f t="shared" si="48"/>
        <v>0</v>
      </c>
      <c r="AF42" s="2">
        <f t="shared" si="49"/>
        <v>0</v>
      </c>
      <c r="AG42" s="2">
        <f t="shared" si="26"/>
        <v>0</v>
      </c>
      <c r="AH42" s="2">
        <f t="shared" si="50"/>
        <v>0</v>
      </c>
      <c r="AI42" s="2">
        <f t="shared" si="51"/>
        <v>0</v>
      </c>
      <c r="AJ42" s="2">
        <f t="shared" si="27"/>
        <v>0</v>
      </c>
      <c r="AK42" s="2">
        <v>6.07</v>
      </c>
      <c r="AL42" s="2">
        <v>6.07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3</v>
      </c>
      <c r="BI42" s="2">
        <v>1</v>
      </c>
      <c r="BJ42" s="2" t="s">
        <v>3</v>
      </c>
      <c r="BK42" s="2"/>
      <c r="BL42" s="2"/>
      <c r="BM42" s="2">
        <v>1100</v>
      </c>
      <c r="BN42" s="2">
        <v>0</v>
      </c>
      <c r="BO42" s="2" t="s">
        <v>3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0</v>
      </c>
      <c r="CA42" s="2">
        <v>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28"/>
        <v>69.81</v>
      </c>
      <c r="CQ42" s="2">
        <f t="shared" si="29"/>
        <v>6.07</v>
      </c>
      <c r="CR42" s="2">
        <f t="shared" si="30"/>
        <v>0</v>
      </c>
      <c r="CS42" s="2">
        <f t="shared" si="31"/>
        <v>0</v>
      </c>
      <c r="CT42" s="2">
        <f t="shared" si="32"/>
        <v>0</v>
      </c>
      <c r="CU42" s="2">
        <f t="shared" si="33"/>
        <v>0</v>
      </c>
      <c r="CV42" s="2">
        <f t="shared" si="34"/>
        <v>0</v>
      </c>
      <c r="CW42" s="2">
        <f t="shared" si="35"/>
        <v>0</v>
      </c>
      <c r="CX42" s="2">
        <f t="shared" si="36"/>
        <v>0</v>
      </c>
      <c r="CY42" s="2">
        <f t="shared" si="37"/>
        <v>0</v>
      </c>
      <c r="CZ42" s="2">
        <f t="shared" si="38"/>
        <v>0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1009</v>
      </c>
      <c r="DV42" s="2" t="s">
        <v>62</v>
      </c>
      <c r="DW42" s="2" t="s">
        <v>62</v>
      </c>
      <c r="DX42" s="2">
        <v>1</v>
      </c>
      <c r="DY42" s="2"/>
      <c r="DZ42" s="2"/>
      <c r="EA42" s="2"/>
      <c r="EB42" s="2"/>
      <c r="EC42" s="2"/>
      <c r="ED42" s="2"/>
      <c r="EE42" s="2">
        <v>32653538</v>
      </c>
      <c r="EF42" s="2">
        <v>20</v>
      </c>
      <c r="EG42" s="2" t="s">
        <v>42</v>
      </c>
      <c r="EH42" s="2">
        <v>0</v>
      </c>
      <c r="EI42" s="2" t="s">
        <v>3</v>
      </c>
      <c r="EJ42" s="2">
        <v>1</v>
      </c>
      <c r="EK42" s="2">
        <v>1100</v>
      </c>
      <c r="EL42" s="2" t="s">
        <v>43</v>
      </c>
      <c r="EM42" s="2" t="s">
        <v>44</v>
      </c>
      <c r="EN42" s="2"/>
      <c r="EO42" s="2" t="s">
        <v>3</v>
      </c>
      <c r="EP42" s="2"/>
      <c r="EQ42" s="2">
        <v>0</v>
      </c>
      <c r="ER42" s="2">
        <v>0</v>
      </c>
      <c r="ES42" s="2">
        <v>6.07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39"/>
        <v>0</v>
      </c>
      <c r="FS42" s="2">
        <v>0</v>
      </c>
      <c r="FT42" s="2"/>
      <c r="FU42" s="2"/>
      <c r="FV42" s="2"/>
      <c r="FW42" s="2"/>
      <c r="FX42" s="2">
        <v>0</v>
      </c>
      <c r="FY42" s="2">
        <v>0</v>
      </c>
      <c r="FZ42" s="2"/>
      <c r="GA42" s="2" t="s">
        <v>63</v>
      </c>
      <c r="GB42" s="2"/>
      <c r="GC42" s="2"/>
      <c r="GD42" s="2">
        <v>0</v>
      </c>
      <c r="GE42" s="2"/>
      <c r="GF42" s="2">
        <v>-1739578923</v>
      </c>
      <c r="GG42" s="2">
        <v>2</v>
      </c>
      <c r="GH42" s="2">
        <v>4</v>
      </c>
      <c r="GI42" s="2">
        <v>-2</v>
      </c>
      <c r="GJ42" s="2">
        <v>0</v>
      </c>
      <c r="GK42" s="2">
        <f>ROUND(R42*(R12)/100,2)</f>
        <v>0</v>
      </c>
      <c r="GL42" s="2">
        <f t="shared" si="40"/>
        <v>0</v>
      </c>
      <c r="GM42" s="2">
        <f t="shared" si="41"/>
        <v>69.81</v>
      </c>
      <c r="GN42" s="2">
        <f t="shared" si="42"/>
        <v>69.81</v>
      </c>
      <c r="GO42" s="2">
        <f t="shared" si="43"/>
        <v>0</v>
      </c>
      <c r="GP42" s="2">
        <f t="shared" si="44"/>
        <v>0</v>
      </c>
      <c r="GQ42" s="2"/>
      <c r="GR42" s="2">
        <v>0</v>
      </c>
      <c r="GS42" s="2">
        <v>2</v>
      </c>
      <c r="GT42" s="2">
        <v>0</v>
      </c>
      <c r="GU42" s="2" t="s">
        <v>3</v>
      </c>
      <c r="GV42" s="2">
        <f t="shared" si="45"/>
        <v>0</v>
      </c>
      <c r="GW42" s="2">
        <v>1</v>
      </c>
      <c r="GX42" s="2">
        <f t="shared" si="46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E43" t="s">
        <v>60</v>
      </c>
      <c r="F43" t="str">
        <f>'1.Смета.или.Акт'!B87</f>
        <v>Прайс-лист</v>
      </c>
      <c r="G43" t="str">
        <f>'1.Смета.или.Акт'!C87</f>
        <v>Уголок 50*50*5</v>
      </c>
      <c r="H43" t="s">
        <v>62</v>
      </c>
      <c r="I43">
        <f>'1.Смета.или.Акт'!E87</f>
        <v>11.5</v>
      </c>
      <c r="J43">
        <v>0</v>
      </c>
      <c r="O43">
        <f t="shared" si="14"/>
        <v>523.54</v>
      </c>
      <c r="P43">
        <f t="shared" si="15"/>
        <v>523.54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34687671</v>
      </c>
      <c r="AB43">
        <f t="shared" si="25"/>
        <v>6.07</v>
      </c>
      <c r="AC43">
        <f t="shared" si="52"/>
        <v>6.07</v>
      </c>
      <c r="AD43">
        <f t="shared" si="47"/>
        <v>0</v>
      </c>
      <c r="AE43">
        <f t="shared" si="48"/>
        <v>0</v>
      </c>
      <c r="AF43">
        <f t="shared" si="49"/>
        <v>0</v>
      </c>
      <c r="AG43">
        <f t="shared" si="26"/>
        <v>0</v>
      </c>
      <c r="AH43">
        <f t="shared" si="50"/>
        <v>0</v>
      </c>
      <c r="AI43">
        <f t="shared" si="51"/>
        <v>0</v>
      </c>
      <c r="AJ43">
        <f t="shared" si="27"/>
        <v>0</v>
      </c>
      <c r="AK43">
        <v>6.07</v>
      </c>
      <c r="AL43" s="56">
        <f>'1.Смета.или.Акт'!F87</f>
        <v>6.07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1</v>
      </c>
      <c r="AZ43">
        <v>1</v>
      </c>
      <c r="BA43">
        <v>1</v>
      </c>
      <c r="BB43">
        <v>1</v>
      </c>
      <c r="BC43">
        <f>'1.Смета.или.Акт'!J87</f>
        <v>7.5</v>
      </c>
      <c r="BD43" t="s">
        <v>3</v>
      </c>
      <c r="BE43" t="s">
        <v>3</v>
      </c>
      <c r="BF43" t="s">
        <v>3</v>
      </c>
      <c r="BG43" t="s">
        <v>3</v>
      </c>
      <c r="BH43">
        <v>3</v>
      </c>
      <c r="BI43">
        <v>1</v>
      </c>
      <c r="BJ43" t="s">
        <v>3</v>
      </c>
      <c r="BM43">
        <v>1100</v>
      </c>
      <c r="BN43">
        <v>0</v>
      </c>
      <c r="BO43" t="s">
        <v>3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0</v>
      </c>
      <c r="CA43">
        <v>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28"/>
        <v>523.54</v>
      </c>
      <c r="CQ43">
        <f t="shared" si="29"/>
        <v>45.525000000000006</v>
      </c>
      <c r="CR43">
        <f t="shared" si="30"/>
        <v>0</v>
      </c>
      <c r="CS43">
        <f t="shared" si="31"/>
        <v>0</v>
      </c>
      <c r="CT43">
        <f t="shared" si="32"/>
        <v>0</v>
      </c>
      <c r="CU43">
        <f t="shared" si="33"/>
        <v>0</v>
      </c>
      <c r="CV43">
        <f t="shared" si="34"/>
        <v>0</v>
      </c>
      <c r="CW43">
        <f t="shared" si="35"/>
        <v>0</v>
      </c>
      <c r="CX43">
        <f t="shared" si="36"/>
        <v>0</v>
      </c>
      <c r="CY43">
        <f t="shared" si="37"/>
        <v>0</v>
      </c>
      <c r="CZ43">
        <f t="shared" si="38"/>
        <v>0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1009</v>
      </c>
      <c r="DV43" t="s">
        <v>62</v>
      </c>
      <c r="DW43" t="str">
        <f>'1.Смета.или.Акт'!D87</f>
        <v>кг</v>
      </c>
      <c r="DX43">
        <v>1</v>
      </c>
      <c r="EE43">
        <v>32653538</v>
      </c>
      <c r="EF43">
        <v>20</v>
      </c>
      <c r="EG43" t="s">
        <v>42</v>
      </c>
      <c r="EH43">
        <v>0</v>
      </c>
      <c r="EI43" t="s">
        <v>3</v>
      </c>
      <c r="EJ43">
        <v>1</v>
      </c>
      <c r="EK43">
        <v>1100</v>
      </c>
      <c r="EL43" t="s">
        <v>43</v>
      </c>
      <c r="EM43" t="s">
        <v>44</v>
      </c>
      <c r="EO43" t="s">
        <v>3</v>
      </c>
      <c r="EQ43">
        <v>0</v>
      </c>
      <c r="ER43">
        <v>6.6</v>
      </c>
      <c r="ES43" s="56">
        <f>'1.Смета.или.Акт'!F87</f>
        <v>6.07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5</v>
      </c>
      <c r="FC43">
        <v>0</v>
      </c>
      <c r="FD43">
        <v>18</v>
      </c>
      <c r="FF43">
        <v>45.53</v>
      </c>
      <c r="FQ43">
        <v>0</v>
      </c>
      <c r="FR43">
        <f t="shared" si="39"/>
        <v>0</v>
      </c>
      <c r="FS43">
        <v>0</v>
      </c>
      <c r="FX43">
        <v>0</v>
      </c>
      <c r="FY43">
        <v>0</v>
      </c>
      <c r="GA43" t="s">
        <v>63</v>
      </c>
      <c r="GD43">
        <v>0</v>
      </c>
      <c r="GF43">
        <v>-1739578923</v>
      </c>
      <c r="GG43">
        <v>2</v>
      </c>
      <c r="GH43">
        <v>3</v>
      </c>
      <c r="GI43">
        <v>4</v>
      </c>
      <c r="GJ43">
        <v>0</v>
      </c>
      <c r="GK43">
        <f>ROUND(R43*(S12)/100,2)</f>
        <v>0</v>
      </c>
      <c r="GL43">
        <f t="shared" si="40"/>
        <v>0</v>
      </c>
      <c r="GM43">
        <f t="shared" si="41"/>
        <v>523.54</v>
      </c>
      <c r="GN43">
        <f t="shared" si="42"/>
        <v>523.54</v>
      </c>
      <c r="GO43">
        <f t="shared" si="43"/>
        <v>0</v>
      </c>
      <c r="GP43">
        <f t="shared" si="44"/>
        <v>0</v>
      </c>
      <c r="GR43">
        <v>1</v>
      </c>
      <c r="GS43">
        <v>1</v>
      </c>
      <c r="GT43">
        <v>0</v>
      </c>
      <c r="GU43" t="s">
        <v>3</v>
      </c>
      <c r="GV43">
        <f t="shared" si="45"/>
        <v>0</v>
      </c>
      <c r="GW43">
        <v>1</v>
      </c>
      <c r="GX43">
        <f t="shared" si="46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/>
      <c r="D44" s="2"/>
      <c r="E44" s="2" t="s">
        <v>64</v>
      </c>
      <c r="F44" s="2" t="s">
        <v>38</v>
      </c>
      <c r="G44" s="2" t="s">
        <v>65</v>
      </c>
      <c r="H44" s="2" t="s">
        <v>62</v>
      </c>
      <c r="I44" s="2">
        <f>'1.Смета.или.Акт'!E90</f>
        <v>0.3</v>
      </c>
      <c r="J44" s="2">
        <v>0</v>
      </c>
      <c r="K44" s="2"/>
      <c r="L44" s="2"/>
      <c r="M44" s="2"/>
      <c r="N44" s="2"/>
      <c r="O44" s="2">
        <f t="shared" si="14"/>
        <v>10.54</v>
      </c>
      <c r="P44" s="2">
        <f t="shared" si="15"/>
        <v>10.54</v>
      </c>
      <c r="Q44" s="2">
        <f t="shared" si="16"/>
        <v>0</v>
      </c>
      <c r="R44" s="2">
        <f t="shared" si="17"/>
        <v>0</v>
      </c>
      <c r="S44" s="2">
        <f t="shared" si="18"/>
        <v>0</v>
      </c>
      <c r="T44" s="2">
        <f t="shared" si="19"/>
        <v>0</v>
      </c>
      <c r="U44" s="2">
        <f t="shared" si="20"/>
        <v>0</v>
      </c>
      <c r="V44" s="2">
        <f t="shared" si="21"/>
        <v>0</v>
      </c>
      <c r="W44" s="2">
        <f t="shared" si="22"/>
        <v>0</v>
      </c>
      <c r="X44" s="2">
        <f t="shared" si="23"/>
        <v>0</v>
      </c>
      <c r="Y44" s="2">
        <f t="shared" si="24"/>
        <v>0</v>
      </c>
      <c r="Z44" s="2"/>
      <c r="AA44" s="2">
        <v>34687670</v>
      </c>
      <c r="AB44" s="2">
        <f t="shared" si="25"/>
        <v>35.14</v>
      </c>
      <c r="AC44" s="2">
        <f t="shared" si="52"/>
        <v>35.14</v>
      </c>
      <c r="AD44" s="2">
        <f t="shared" si="47"/>
        <v>0</v>
      </c>
      <c r="AE44" s="2">
        <f t="shared" si="48"/>
        <v>0</v>
      </c>
      <c r="AF44" s="2">
        <f t="shared" si="49"/>
        <v>0</v>
      </c>
      <c r="AG44" s="2">
        <f t="shared" si="26"/>
        <v>0</v>
      </c>
      <c r="AH44" s="2">
        <f t="shared" si="50"/>
        <v>0</v>
      </c>
      <c r="AI44" s="2">
        <f t="shared" si="51"/>
        <v>0</v>
      </c>
      <c r="AJ44" s="2">
        <f t="shared" si="27"/>
        <v>0</v>
      </c>
      <c r="AK44" s="2">
        <v>35.14</v>
      </c>
      <c r="AL44" s="2">
        <v>35.14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3</v>
      </c>
      <c r="BI44" s="2">
        <v>1</v>
      </c>
      <c r="BJ44" s="2" t="s">
        <v>3</v>
      </c>
      <c r="BK44" s="2"/>
      <c r="BL44" s="2"/>
      <c r="BM44" s="2">
        <v>1100</v>
      </c>
      <c r="BN44" s="2">
        <v>0</v>
      </c>
      <c r="BO44" s="2" t="s">
        <v>3</v>
      </c>
      <c r="BP44" s="2">
        <v>0</v>
      </c>
      <c r="BQ44" s="2">
        <v>20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0</v>
      </c>
      <c r="CA44" s="2">
        <v>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28"/>
        <v>10.54</v>
      </c>
      <c r="CQ44" s="2">
        <f t="shared" si="29"/>
        <v>35.14</v>
      </c>
      <c r="CR44" s="2">
        <f t="shared" si="30"/>
        <v>0</v>
      </c>
      <c r="CS44" s="2">
        <f t="shared" si="31"/>
        <v>0</v>
      </c>
      <c r="CT44" s="2">
        <f t="shared" si="32"/>
        <v>0</v>
      </c>
      <c r="CU44" s="2">
        <f t="shared" si="33"/>
        <v>0</v>
      </c>
      <c r="CV44" s="2">
        <f t="shared" si="34"/>
        <v>0</v>
      </c>
      <c r="CW44" s="2">
        <f t="shared" si="35"/>
        <v>0</v>
      </c>
      <c r="CX44" s="2">
        <f t="shared" si="36"/>
        <v>0</v>
      </c>
      <c r="CY44" s="2">
        <f t="shared" si="37"/>
        <v>0</v>
      </c>
      <c r="CZ44" s="2">
        <f t="shared" si="38"/>
        <v>0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1009</v>
      </c>
      <c r="DV44" s="2" t="s">
        <v>62</v>
      </c>
      <c r="DW44" s="2" t="s">
        <v>62</v>
      </c>
      <c r="DX44" s="2">
        <v>1</v>
      </c>
      <c r="DY44" s="2"/>
      <c r="DZ44" s="2"/>
      <c r="EA44" s="2"/>
      <c r="EB44" s="2"/>
      <c r="EC44" s="2"/>
      <c r="ED44" s="2"/>
      <c r="EE44" s="2">
        <v>32653538</v>
      </c>
      <c r="EF44" s="2">
        <v>20</v>
      </c>
      <c r="EG44" s="2" t="s">
        <v>42</v>
      </c>
      <c r="EH44" s="2">
        <v>0</v>
      </c>
      <c r="EI44" s="2" t="s">
        <v>3</v>
      </c>
      <c r="EJ44" s="2">
        <v>1</v>
      </c>
      <c r="EK44" s="2">
        <v>1100</v>
      </c>
      <c r="EL44" s="2" t="s">
        <v>43</v>
      </c>
      <c r="EM44" s="2" t="s">
        <v>44</v>
      </c>
      <c r="EN44" s="2"/>
      <c r="EO44" s="2" t="s">
        <v>3</v>
      </c>
      <c r="EP44" s="2"/>
      <c r="EQ44" s="2">
        <v>0</v>
      </c>
      <c r="ER44" s="2">
        <v>0</v>
      </c>
      <c r="ES44" s="2">
        <v>35.14</v>
      </c>
      <c r="ET44" s="2">
        <v>0</v>
      </c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39"/>
        <v>0</v>
      </c>
      <c r="FS44" s="2">
        <v>0</v>
      </c>
      <c r="FT44" s="2"/>
      <c r="FU44" s="2"/>
      <c r="FV44" s="2"/>
      <c r="FW44" s="2"/>
      <c r="FX44" s="2">
        <v>0</v>
      </c>
      <c r="FY44" s="2">
        <v>0</v>
      </c>
      <c r="FZ44" s="2"/>
      <c r="GA44" s="2" t="s">
        <v>66</v>
      </c>
      <c r="GB44" s="2"/>
      <c r="GC44" s="2"/>
      <c r="GD44" s="2">
        <v>0</v>
      </c>
      <c r="GE44" s="2"/>
      <c r="GF44" s="2">
        <v>-812491392</v>
      </c>
      <c r="GG44" s="2">
        <v>2</v>
      </c>
      <c r="GH44" s="2">
        <v>4</v>
      </c>
      <c r="GI44" s="2">
        <v>-2</v>
      </c>
      <c r="GJ44" s="2">
        <v>0</v>
      </c>
      <c r="GK44" s="2">
        <f>ROUND(R44*(R12)/100,2)</f>
        <v>0</v>
      </c>
      <c r="GL44" s="2">
        <f t="shared" si="40"/>
        <v>0</v>
      </c>
      <c r="GM44" s="2">
        <f t="shared" si="41"/>
        <v>10.54</v>
      </c>
      <c r="GN44" s="2">
        <f t="shared" si="42"/>
        <v>10.54</v>
      </c>
      <c r="GO44" s="2">
        <f t="shared" si="43"/>
        <v>0</v>
      </c>
      <c r="GP44" s="2">
        <f t="shared" si="44"/>
        <v>0</v>
      </c>
      <c r="GQ44" s="2"/>
      <c r="GR44" s="2">
        <v>0</v>
      </c>
      <c r="GS44" s="2">
        <v>2</v>
      </c>
      <c r="GT44" s="2">
        <v>0</v>
      </c>
      <c r="GU44" s="2" t="s">
        <v>3</v>
      </c>
      <c r="GV44" s="2">
        <f t="shared" si="45"/>
        <v>0</v>
      </c>
      <c r="GW44" s="2">
        <v>1</v>
      </c>
      <c r="GX44" s="2">
        <f t="shared" si="46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E45" t="s">
        <v>64</v>
      </c>
      <c r="F45" t="str">
        <f>'1.Смета.или.Акт'!B90</f>
        <v>Прайс-лист</v>
      </c>
      <c r="G45" t="str">
        <f>'1.Смета.или.Акт'!C90</f>
        <v>Шайба ф10 оц.</v>
      </c>
      <c r="H45" t="s">
        <v>62</v>
      </c>
      <c r="I45">
        <f>'1.Смета.или.Акт'!E90</f>
        <v>0.3</v>
      </c>
      <c r="J45">
        <v>0</v>
      </c>
      <c r="O45">
        <f t="shared" si="14"/>
        <v>79.069999999999993</v>
      </c>
      <c r="P45">
        <f t="shared" si="15"/>
        <v>79.069999999999993</v>
      </c>
      <c r="Q45">
        <f t="shared" si="16"/>
        <v>0</v>
      </c>
      <c r="R45">
        <f t="shared" si="17"/>
        <v>0</v>
      </c>
      <c r="S45">
        <f t="shared" si="18"/>
        <v>0</v>
      </c>
      <c r="T45">
        <f t="shared" si="19"/>
        <v>0</v>
      </c>
      <c r="U45">
        <f t="shared" si="20"/>
        <v>0</v>
      </c>
      <c r="V45">
        <f t="shared" si="21"/>
        <v>0</v>
      </c>
      <c r="W45">
        <f t="shared" si="22"/>
        <v>0</v>
      </c>
      <c r="X45">
        <f t="shared" si="23"/>
        <v>0</v>
      </c>
      <c r="Y45">
        <f t="shared" si="24"/>
        <v>0</v>
      </c>
      <c r="AA45">
        <v>34687671</v>
      </c>
      <c r="AB45">
        <f t="shared" si="25"/>
        <v>35.14</v>
      </c>
      <c r="AC45">
        <f t="shared" si="52"/>
        <v>35.14</v>
      </c>
      <c r="AD45">
        <f t="shared" si="47"/>
        <v>0</v>
      </c>
      <c r="AE45">
        <f t="shared" si="48"/>
        <v>0</v>
      </c>
      <c r="AF45">
        <f t="shared" si="49"/>
        <v>0</v>
      </c>
      <c r="AG45">
        <f t="shared" si="26"/>
        <v>0</v>
      </c>
      <c r="AH45">
        <f t="shared" si="50"/>
        <v>0</v>
      </c>
      <c r="AI45">
        <f t="shared" si="51"/>
        <v>0</v>
      </c>
      <c r="AJ45">
        <f t="shared" si="27"/>
        <v>0</v>
      </c>
      <c r="AK45">
        <v>35.14</v>
      </c>
      <c r="AL45" s="56">
        <f>'1.Смета.или.Акт'!F90</f>
        <v>35.14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1</v>
      </c>
      <c r="AW45">
        <v>1</v>
      </c>
      <c r="AZ45">
        <v>1</v>
      </c>
      <c r="BA45">
        <v>1</v>
      </c>
      <c r="BB45">
        <v>1</v>
      </c>
      <c r="BC45">
        <f>'1.Смета.или.Акт'!J90</f>
        <v>7.5</v>
      </c>
      <c r="BD45" t="s">
        <v>3</v>
      </c>
      <c r="BE45" t="s">
        <v>3</v>
      </c>
      <c r="BF45" t="s">
        <v>3</v>
      </c>
      <c r="BG45" t="s">
        <v>3</v>
      </c>
      <c r="BH45">
        <v>3</v>
      </c>
      <c r="BI45">
        <v>1</v>
      </c>
      <c r="BJ45" t="s">
        <v>3</v>
      </c>
      <c r="BM45">
        <v>1100</v>
      </c>
      <c r="BN45">
        <v>0</v>
      </c>
      <c r="BO45" t="s">
        <v>3</v>
      </c>
      <c r="BP45">
        <v>0</v>
      </c>
      <c r="BQ45">
        <v>20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0</v>
      </c>
      <c r="CA45">
        <v>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28"/>
        <v>79.069999999999993</v>
      </c>
      <c r="CQ45">
        <f t="shared" si="29"/>
        <v>263.55</v>
      </c>
      <c r="CR45">
        <f t="shared" si="30"/>
        <v>0</v>
      </c>
      <c r="CS45">
        <f t="shared" si="31"/>
        <v>0</v>
      </c>
      <c r="CT45">
        <f t="shared" si="32"/>
        <v>0</v>
      </c>
      <c r="CU45">
        <f t="shared" si="33"/>
        <v>0</v>
      </c>
      <c r="CV45">
        <f t="shared" si="34"/>
        <v>0</v>
      </c>
      <c r="CW45">
        <f t="shared" si="35"/>
        <v>0</v>
      </c>
      <c r="CX45">
        <f t="shared" si="36"/>
        <v>0</v>
      </c>
      <c r="CY45">
        <f t="shared" si="37"/>
        <v>0</v>
      </c>
      <c r="CZ45">
        <f t="shared" si="38"/>
        <v>0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1009</v>
      </c>
      <c r="DV45" t="s">
        <v>62</v>
      </c>
      <c r="DW45" t="str">
        <f>'1.Смета.или.Акт'!D90</f>
        <v>кг</v>
      </c>
      <c r="DX45">
        <v>1</v>
      </c>
      <c r="EE45">
        <v>32653538</v>
      </c>
      <c r="EF45">
        <v>20</v>
      </c>
      <c r="EG45" t="s">
        <v>42</v>
      </c>
      <c r="EH45">
        <v>0</v>
      </c>
      <c r="EI45" t="s">
        <v>3</v>
      </c>
      <c r="EJ45">
        <v>1</v>
      </c>
      <c r="EK45">
        <v>1100</v>
      </c>
      <c r="EL45" t="s">
        <v>43</v>
      </c>
      <c r="EM45" t="s">
        <v>44</v>
      </c>
      <c r="EO45" t="s">
        <v>3</v>
      </c>
      <c r="EQ45">
        <v>0</v>
      </c>
      <c r="ER45">
        <v>38.19</v>
      </c>
      <c r="ES45" s="56">
        <f>'1.Смета.или.Акт'!F90</f>
        <v>35.14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5</v>
      </c>
      <c r="FC45">
        <v>0</v>
      </c>
      <c r="FD45">
        <v>18</v>
      </c>
      <c r="FF45">
        <v>263.52999999999997</v>
      </c>
      <c r="FQ45">
        <v>0</v>
      </c>
      <c r="FR45">
        <f t="shared" si="39"/>
        <v>0</v>
      </c>
      <c r="FS45">
        <v>0</v>
      </c>
      <c r="FX45">
        <v>0</v>
      </c>
      <c r="FY45">
        <v>0</v>
      </c>
      <c r="GA45" t="s">
        <v>66</v>
      </c>
      <c r="GD45">
        <v>0</v>
      </c>
      <c r="GF45">
        <v>-812491392</v>
      </c>
      <c r="GG45">
        <v>2</v>
      </c>
      <c r="GH45">
        <v>3</v>
      </c>
      <c r="GI45">
        <v>4</v>
      </c>
      <c r="GJ45">
        <v>0</v>
      </c>
      <c r="GK45">
        <f>ROUND(R45*(S12)/100,2)</f>
        <v>0</v>
      </c>
      <c r="GL45">
        <f t="shared" si="40"/>
        <v>0</v>
      </c>
      <c r="GM45">
        <f t="shared" si="41"/>
        <v>79.069999999999993</v>
      </c>
      <c r="GN45">
        <f t="shared" si="42"/>
        <v>79.069999999999993</v>
      </c>
      <c r="GO45">
        <f t="shared" si="43"/>
        <v>0</v>
      </c>
      <c r="GP45">
        <f t="shared" si="44"/>
        <v>0</v>
      </c>
      <c r="GR45">
        <v>1</v>
      </c>
      <c r="GS45">
        <v>1</v>
      </c>
      <c r="GT45">
        <v>0</v>
      </c>
      <c r="GU45" t="s">
        <v>3</v>
      </c>
      <c r="GV45">
        <f t="shared" si="45"/>
        <v>0</v>
      </c>
      <c r="GW45">
        <v>1</v>
      </c>
      <c r="GX45">
        <f t="shared" si="46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/>
      <c r="D46" s="2"/>
      <c r="E46" s="2" t="s">
        <v>67</v>
      </c>
      <c r="F46" s="2" t="s">
        <v>38</v>
      </c>
      <c r="G46" s="2" t="s">
        <v>68</v>
      </c>
      <c r="H46" s="2" t="s">
        <v>62</v>
      </c>
      <c r="I46" s="2">
        <f>'1.Смета.или.Акт'!E93</f>
        <v>0.3</v>
      </c>
      <c r="J46" s="2">
        <v>0</v>
      </c>
      <c r="K46" s="2"/>
      <c r="L46" s="2"/>
      <c r="M46" s="2"/>
      <c r="N46" s="2"/>
      <c r="O46" s="2">
        <f t="shared" si="14"/>
        <v>8.8800000000000008</v>
      </c>
      <c r="P46" s="2">
        <f t="shared" si="15"/>
        <v>8.8800000000000008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34687670</v>
      </c>
      <c r="AB46" s="2">
        <f t="shared" si="25"/>
        <v>29.61</v>
      </c>
      <c r="AC46" s="2">
        <f t="shared" si="52"/>
        <v>29.61</v>
      </c>
      <c r="AD46" s="2">
        <f t="shared" si="47"/>
        <v>0</v>
      </c>
      <c r="AE46" s="2">
        <f t="shared" si="48"/>
        <v>0</v>
      </c>
      <c r="AF46" s="2">
        <f t="shared" si="49"/>
        <v>0</v>
      </c>
      <c r="AG46" s="2">
        <f t="shared" si="26"/>
        <v>0</v>
      </c>
      <c r="AH46" s="2">
        <f t="shared" si="50"/>
        <v>0</v>
      </c>
      <c r="AI46" s="2">
        <f t="shared" si="51"/>
        <v>0</v>
      </c>
      <c r="AJ46" s="2">
        <f t="shared" si="27"/>
        <v>0</v>
      </c>
      <c r="AK46" s="2">
        <v>29.61</v>
      </c>
      <c r="AL46" s="2">
        <v>29.61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3</v>
      </c>
      <c r="BK46" s="2"/>
      <c r="BL46" s="2"/>
      <c r="BM46" s="2">
        <v>1100</v>
      </c>
      <c r="BN46" s="2">
        <v>0</v>
      </c>
      <c r="BO46" s="2" t="s">
        <v>3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28"/>
        <v>8.8800000000000008</v>
      </c>
      <c r="CQ46" s="2">
        <f t="shared" si="29"/>
        <v>29.61</v>
      </c>
      <c r="CR46" s="2">
        <f t="shared" si="30"/>
        <v>0</v>
      </c>
      <c r="CS46" s="2">
        <f t="shared" si="31"/>
        <v>0</v>
      </c>
      <c r="CT46" s="2">
        <f t="shared" si="32"/>
        <v>0</v>
      </c>
      <c r="CU46" s="2">
        <f t="shared" si="33"/>
        <v>0</v>
      </c>
      <c r="CV46" s="2">
        <f t="shared" si="34"/>
        <v>0</v>
      </c>
      <c r="CW46" s="2">
        <f t="shared" si="35"/>
        <v>0</v>
      </c>
      <c r="CX46" s="2">
        <f t="shared" si="36"/>
        <v>0</v>
      </c>
      <c r="CY46" s="2">
        <f t="shared" si="37"/>
        <v>0</v>
      </c>
      <c r="CZ46" s="2">
        <f t="shared" si="38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1009</v>
      </c>
      <c r="DV46" s="2" t="s">
        <v>62</v>
      </c>
      <c r="DW46" s="2" t="s">
        <v>62</v>
      </c>
      <c r="DX46" s="2">
        <v>1</v>
      </c>
      <c r="DY46" s="2"/>
      <c r="DZ46" s="2"/>
      <c r="EA46" s="2"/>
      <c r="EB46" s="2"/>
      <c r="EC46" s="2"/>
      <c r="ED46" s="2"/>
      <c r="EE46" s="2">
        <v>32653538</v>
      </c>
      <c r="EF46" s="2">
        <v>20</v>
      </c>
      <c r="EG46" s="2" t="s">
        <v>42</v>
      </c>
      <c r="EH46" s="2">
        <v>0</v>
      </c>
      <c r="EI46" s="2" t="s">
        <v>3</v>
      </c>
      <c r="EJ46" s="2">
        <v>1</v>
      </c>
      <c r="EK46" s="2">
        <v>1100</v>
      </c>
      <c r="EL46" s="2" t="s">
        <v>43</v>
      </c>
      <c r="EM46" s="2" t="s">
        <v>44</v>
      </c>
      <c r="EN46" s="2"/>
      <c r="EO46" s="2" t="s">
        <v>3</v>
      </c>
      <c r="EP46" s="2"/>
      <c r="EQ46" s="2">
        <v>0</v>
      </c>
      <c r="ER46" s="2">
        <v>0</v>
      </c>
      <c r="ES46" s="2">
        <v>29.61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39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69</v>
      </c>
      <c r="GB46" s="2"/>
      <c r="GC46" s="2"/>
      <c r="GD46" s="2">
        <v>0</v>
      </c>
      <c r="GE46" s="2"/>
      <c r="GF46" s="2">
        <v>-496863548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ROUND(R46*(R12)/100,2)</f>
        <v>0</v>
      </c>
      <c r="GL46" s="2">
        <f t="shared" si="40"/>
        <v>0</v>
      </c>
      <c r="GM46" s="2">
        <f t="shared" si="41"/>
        <v>8.8800000000000008</v>
      </c>
      <c r="GN46" s="2">
        <f t="shared" si="42"/>
        <v>8.8800000000000008</v>
      </c>
      <c r="GO46" s="2">
        <f t="shared" si="43"/>
        <v>0</v>
      </c>
      <c r="GP46" s="2">
        <f t="shared" si="44"/>
        <v>0</v>
      </c>
      <c r="GQ46" s="2"/>
      <c r="GR46" s="2">
        <v>0</v>
      </c>
      <c r="GS46" s="2">
        <v>2</v>
      </c>
      <c r="GT46" s="2">
        <v>0</v>
      </c>
      <c r="GU46" s="2" t="s">
        <v>3</v>
      </c>
      <c r="GV46" s="2">
        <f t="shared" si="45"/>
        <v>0</v>
      </c>
      <c r="GW46" s="2">
        <v>1</v>
      </c>
      <c r="GX46" s="2">
        <f t="shared" si="46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E47" t="s">
        <v>67</v>
      </c>
      <c r="F47" t="str">
        <f>'1.Смета.или.Акт'!B93</f>
        <v>Прайс-лист</v>
      </c>
      <c r="G47" t="str">
        <f>'1.Смета.или.Акт'!C93</f>
        <v>Шайба ф12</v>
      </c>
      <c r="H47" t="s">
        <v>62</v>
      </c>
      <c r="I47">
        <f>'1.Смета.или.Акт'!E93</f>
        <v>0.3</v>
      </c>
      <c r="J47">
        <v>0</v>
      </c>
      <c r="O47">
        <f t="shared" si="14"/>
        <v>66.62</v>
      </c>
      <c r="P47">
        <f t="shared" si="15"/>
        <v>66.62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34687671</v>
      </c>
      <c r="AB47">
        <f t="shared" si="25"/>
        <v>29.61</v>
      </c>
      <c r="AC47">
        <f t="shared" si="52"/>
        <v>29.61</v>
      </c>
      <c r="AD47">
        <f t="shared" si="47"/>
        <v>0</v>
      </c>
      <c r="AE47">
        <f t="shared" si="48"/>
        <v>0</v>
      </c>
      <c r="AF47">
        <f t="shared" si="49"/>
        <v>0</v>
      </c>
      <c r="AG47">
        <f t="shared" si="26"/>
        <v>0</v>
      </c>
      <c r="AH47">
        <f t="shared" si="50"/>
        <v>0</v>
      </c>
      <c r="AI47">
        <f t="shared" si="51"/>
        <v>0</v>
      </c>
      <c r="AJ47">
        <f t="shared" si="27"/>
        <v>0</v>
      </c>
      <c r="AK47">
        <v>29.61</v>
      </c>
      <c r="AL47" s="56">
        <f>'1.Смета.или.Акт'!F93</f>
        <v>29.61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'1.Смета.или.Акт'!J93</f>
        <v>7.5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3</v>
      </c>
      <c r="BM47">
        <v>1100</v>
      </c>
      <c r="BN47">
        <v>0</v>
      </c>
      <c r="BO47" t="s">
        <v>3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28"/>
        <v>66.62</v>
      </c>
      <c r="CQ47">
        <f t="shared" si="29"/>
        <v>222.07499999999999</v>
      </c>
      <c r="CR47">
        <f t="shared" si="30"/>
        <v>0</v>
      </c>
      <c r="CS47">
        <f t="shared" si="31"/>
        <v>0</v>
      </c>
      <c r="CT47">
        <f t="shared" si="32"/>
        <v>0</v>
      </c>
      <c r="CU47">
        <f t="shared" si="33"/>
        <v>0</v>
      </c>
      <c r="CV47">
        <f t="shared" si="34"/>
        <v>0</v>
      </c>
      <c r="CW47">
        <f t="shared" si="35"/>
        <v>0</v>
      </c>
      <c r="CX47">
        <f t="shared" si="36"/>
        <v>0</v>
      </c>
      <c r="CY47">
        <f t="shared" si="37"/>
        <v>0</v>
      </c>
      <c r="CZ47">
        <f t="shared" si="38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1009</v>
      </c>
      <c r="DV47" t="s">
        <v>62</v>
      </c>
      <c r="DW47" t="str">
        <f>'1.Смета.или.Акт'!D93</f>
        <v>кг</v>
      </c>
      <c r="DX47">
        <v>1</v>
      </c>
      <c r="EE47">
        <v>32653538</v>
      </c>
      <c r="EF47">
        <v>20</v>
      </c>
      <c r="EG47" t="s">
        <v>42</v>
      </c>
      <c r="EH47">
        <v>0</v>
      </c>
      <c r="EI47" t="s">
        <v>3</v>
      </c>
      <c r="EJ47">
        <v>1</v>
      </c>
      <c r="EK47">
        <v>1100</v>
      </c>
      <c r="EL47" t="s">
        <v>43</v>
      </c>
      <c r="EM47" t="s">
        <v>44</v>
      </c>
      <c r="EO47" t="s">
        <v>3</v>
      </c>
      <c r="EQ47">
        <v>0</v>
      </c>
      <c r="ER47">
        <v>32.19</v>
      </c>
      <c r="ES47" s="56">
        <f>'1.Смета.или.Акт'!F93</f>
        <v>29.61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5</v>
      </c>
      <c r="FC47">
        <v>0</v>
      </c>
      <c r="FD47">
        <v>18</v>
      </c>
      <c r="FF47">
        <v>222.1</v>
      </c>
      <c r="FQ47">
        <v>0</v>
      </c>
      <c r="FR47">
        <f t="shared" si="39"/>
        <v>0</v>
      </c>
      <c r="FS47">
        <v>0</v>
      </c>
      <c r="FX47">
        <v>0</v>
      </c>
      <c r="FY47">
        <v>0</v>
      </c>
      <c r="GA47" t="s">
        <v>69</v>
      </c>
      <c r="GD47">
        <v>0</v>
      </c>
      <c r="GF47">
        <v>-496863548</v>
      </c>
      <c r="GG47">
        <v>2</v>
      </c>
      <c r="GH47">
        <v>3</v>
      </c>
      <c r="GI47">
        <v>4</v>
      </c>
      <c r="GJ47">
        <v>0</v>
      </c>
      <c r="GK47">
        <f>ROUND(R47*(S12)/100,2)</f>
        <v>0</v>
      </c>
      <c r="GL47">
        <f t="shared" si="40"/>
        <v>0</v>
      </c>
      <c r="GM47">
        <f t="shared" si="41"/>
        <v>66.62</v>
      </c>
      <c r="GN47">
        <f t="shared" si="42"/>
        <v>66.62</v>
      </c>
      <c r="GO47">
        <f t="shared" si="43"/>
        <v>0</v>
      </c>
      <c r="GP47">
        <f t="shared" si="44"/>
        <v>0</v>
      </c>
      <c r="GR47">
        <v>1</v>
      </c>
      <c r="GS47">
        <v>1</v>
      </c>
      <c r="GT47">
        <v>0</v>
      </c>
      <c r="GU47" t="s">
        <v>3</v>
      </c>
      <c r="GV47">
        <f t="shared" si="45"/>
        <v>0</v>
      </c>
      <c r="GW47">
        <v>1</v>
      </c>
      <c r="GX47">
        <f t="shared" si="46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70</v>
      </c>
      <c r="F48" s="2" t="s">
        <v>38</v>
      </c>
      <c r="G48" s="2" t="s">
        <v>71</v>
      </c>
      <c r="H48" s="2" t="s">
        <v>40</v>
      </c>
      <c r="I48" s="2">
        <f>'1.Смета.или.Акт'!E96</f>
        <v>1</v>
      </c>
      <c r="J48" s="2">
        <v>0</v>
      </c>
      <c r="K48" s="2"/>
      <c r="L48" s="2"/>
      <c r="M48" s="2"/>
      <c r="N48" s="2"/>
      <c r="O48" s="2">
        <f t="shared" si="14"/>
        <v>16.45</v>
      </c>
      <c r="P48" s="2">
        <f t="shared" si="15"/>
        <v>16.45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34687670</v>
      </c>
      <c r="AB48" s="2">
        <f t="shared" si="25"/>
        <v>16.45</v>
      </c>
      <c r="AC48" s="2">
        <f t="shared" si="52"/>
        <v>16.45</v>
      </c>
      <c r="AD48" s="2">
        <f t="shared" si="47"/>
        <v>0</v>
      </c>
      <c r="AE48" s="2">
        <f t="shared" si="48"/>
        <v>0</v>
      </c>
      <c r="AF48" s="2">
        <f t="shared" si="49"/>
        <v>0</v>
      </c>
      <c r="AG48" s="2">
        <f t="shared" si="26"/>
        <v>0</v>
      </c>
      <c r="AH48" s="2">
        <f t="shared" si="50"/>
        <v>0</v>
      </c>
      <c r="AI48" s="2">
        <f t="shared" si="51"/>
        <v>0</v>
      </c>
      <c r="AJ48" s="2">
        <f t="shared" si="27"/>
        <v>0</v>
      </c>
      <c r="AK48" s="2">
        <v>16.45</v>
      </c>
      <c r="AL48" s="2">
        <v>16.45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28"/>
        <v>16.45</v>
      </c>
      <c r="CQ48" s="2">
        <f t="shared" si="29"/>
        <v>16.45</v>
      </c>
      <c r="CR48" s="2">
        <f t="shared" si="30"/>
        <v>0</v>
      </c>
      <c r="CS48" s="2">
        <f t="shared" si="31"/>
        <v>0</v>
      </c>
      <c r="CT48" s="2">
        <f t="shared" si="32"/>
        <v>0</v>
      </c>
      <c r="CU48" s="2">
        <f t="shared" si="33"/>
        <v>0</v>
      </c>
      <c r="CV48" s="2">
        <f t="shared" si="34"/>
        <v>0</v>
      </c>
      <c r="CW48" s="2">
        <f t="shared" si="35"/>
        <v>0</v>
      </c>
      <c r="CX48" s="2">
        <f t="shared" si="36"/>
        <v>0</v>
      </c>
      <c r="CY48" s="2">
        <f t="shared" si="37"/>
        <v>0</v>
      </c>
      <c r="CZ48" s="2">
        <f t="shared" si="38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1013</v>
      </c>
      <c r="DV48" s="2" t="s">
        <v>40</v>
      </c>
      <c r="DW48" s="2" t="s">
        <v>41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42</v>
      </c>
      <c r="EH48" s="2">
        <v>0</v>
      </c>
      <c r="EI48" s="2" t="s">
        <v>3</v>
      </c>
      <c r="EJ48" s="2">
        <v>1</v>
      </c>
      <c r="EK48" s="2">
        <v>1100</v>
      </c>
      <c r="EL48" s="2" t="s">
        <v>43</v>
      </c>
      <c r="EM48" s="2" t="s">
        <v>44</v>
      </c>
      <c r="EN48" s="2"/>
      <c r="EO48" s="2" t="s">
        <v>3</v>
      </c>
      <c r="EP48" s="2"/>
      <c r="EQ48" s="2">
        <v>0</v>
      </c>
      <c r="ER48" s="2">
        <v>0</v>
      </c>
      <c r="ES48" s="2">
        <v>16.45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39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72</v>
      </c>
      <c r="GB48" s="2"/>
      <c r="GC48" s="2"/>
      <c r="GD48" s="2">
        <v>0</v>
      </c>
      <c r="GE48" s="2"/>
      <c r="GF48" s="2">
        <v>-1412283353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0"/>
        <v>0</v>
      </c>
      <c r="GM48" s="2">
        <f t="shared" si="41"/>
        <v>16.45</v>
      </c>
      <c r="GN48" s="2">
        <f t="shared" si="42"/>
        <v>16.45</v>
      </c>
      <c r="GO48" s="2">
        <f t="shared" si="43"/>
        <v>0</v>
      </c>
      <c r="GP48" s="2">
        <f t="shared" si="44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45"/>
        <v>0</v>
      </c>
      <c r="GW48" s="2">
        <v>1</v>
      </c>
      <c r="GX48" s="2">
        <f t="shared" si="46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45" x14ac:dyDescent="0.2">
      <c r="A49">
        <v>17</v>
      </c>
      <c r="B49">
        <v>1</v>
      </c>
      <c r="E49" t="s">
        <v>70</v>
      </c>
      <c r="F49" t="str">
        <f>'1.Смета.или.Акт'!B96</f>
        <v>Прайс-лист</v>
      </c>
      <c r="G49" t="str">
        <f>'1.Смета.или.Акт'!C96</f>
        <v>Эмаль универсальная черная 520мл аэрозоль</v>
      </c>
      <c r="H49" t="s">
        <v>40</v>
      </c>
      <c r="I49">
        <f>'1.Смета.или.Акт'!E96</f>
        <v>1</v>
      </c>
      <c r="J49">
        <v>0</v>
      </c>
      <c r="O49">
        <f t="shared" si="14"/>
        <v>123.38</v>
      </c>
      <c r="P49">
        <f t="shared" si="15"/>
        <v>123.38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34687671</v>
      </c>
      <c r="AB49">
        <f t="shared" si="25"/>
        <v>16.45</v>
      </c>
      <c r="AC49">
        <f t="shared" si="52"/>
        <v>16.45</v>
      </c>
      <c r="AD49">
        <f t="shared" si="47"/>
        <v>0</v>
      </c>
      <c r="AE49">
        <f t="shared" si="48"/>
        <v>0</v>
      </c>
      <c r="AF49">
        <f t="shared" si="49"/>
        <v>0</v>
      </c>
      <c r="AG49">
        <f t="shared" si="26"/>
        <v>0</v>
      </c>
      <c r="AH49">
        <f t="shared" si="50"/>
        <v>0</v>
      </c>
      <c r="AI49">
        <f t="shared" si="51"/>
        <v>0</v>
      </c>
      <c r="AJ49">
        <f t="shared" si="27"/>
        <v>0</v>
      </c>
      <c r="AK49">
        <v>16.45</v>
      </c>
      <c r="AL49" s="56">
        <f>'1.Смета.или.Акт'!F96</f>
        <v>16.45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'1.Смета.или.Акт'!J96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28"/>
        <v>123.38</v>
      </c>
      <c r="CQ49">
        <f t="shared" si="29"/>
        <v>123.375</v>
      </c>
      <c r="CR49">
        <f t="shared" si="30"/>
        <v>0</v>
      </c>
      <c r="CS49">
        <f t="shared" si="31"/>
        <v>0</v>
      </c>
      <c r="CT49">
        <f t="shared" si="32"/>
        <v>0</v>
      </c>
      <c r="CU49">
        <f t="shared" si="33"/>
        <v>0</v>
      </c>
      <c r="CV49">
        <f t="shared" si="34"/>
        <v>0</v>
      </c>
      <c r="CW49">
        <f t="shared" si="35"/>
        <v>0</v>
      </c>
      <c r="CX49">
        <f t="shared" si="36"/>
        <v>0</v>
      </c>
      <c r="CY49">
        <f t="shared" si="37"/>
        <v>0</v>
      </c>
      <c r="CZ49">
        <f t="shared" si="38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1013</v>
      </c>
      <c r="DV49" t="s">
        <v>40</v>
      </c>
      <c r="DW49" t="str">
        <f>'1.Смета.или.Акт'!D96</f>
        <v>шт</v>
      </c>
      <c r="DX49">
        <v>1</v>
      </c>
      <c r="EE49">
        <v>32653538</v>
      </c>
      <c r="EF49">
        <v>20</v>
      </c>
      <c r="EG49" t="s">
        <v>42</v>
      </c>
      <c r="EH49">
        <v>0</v>
      </c>
      <c r="EI49" t="s">
        <v>3</v>
      </c>
      <c r="EJ49">
        <v>1</v>
      </c>
      <c r="EK49">
        <v>1100</v>
      </c>
      <c r="EL49" t="s">
        <v>43</v>
      </c>
      <c r="EM49" t="s">
        <v>44</v>
      </c>
      <c r="EO49" t="s">
        <v>3</v>
      </c>
      <c r="EQ49">
        <v>0</v>
      </c>
      <c r="ER49">
        <v>17.88</v>
      </c>
      <c r="ES49" s="56">
        <f>'1.Смета.или.Акт'!F96</f>
        <v>16.45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123.39</v>
      </c>
      <c r="FQ49">
        <v>0</v>
      </c>
      <c r="FR49">
        <f t="shared" si="39"/>
        <v>0</v>
      </c>
      <c r="FS49">
        <v>0</v>
      </c>
      <c r="FX49">
        <v>0</v>
      </c>
      <c r="FY49">
        <v>0</v>
      </c>
      <c r="GA49" t="s">
        <v>72</v>
      </c>
      <c r="GD49">
        <v>0</v>
      </c>
      <c r="GF49">
        <v>-1412283353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0"/>
        <v>0</v>
      </c>
      <c r="GM49">
        <f t="shared" si="41"/>
        <v>123.38</v>
      </c>
      <c r="GN49">
        <f t="shared" si="42"/>
        <v>123.38</v>
      </c>
      <c r="GO49">
        <f t="shared" si="43"/>
        <v>0</v>
      </c>
      <c r="GP49">
        <f t="shared" si="44"/>
        <v>0</v>
      </c>
      <c r="GR49">
        <v>1</v>
      </c>
      <c r="GS49">
        <v>1</v>
      </c>
      <c r="GT49">
        <v>0</v>
      </c>
      <c r="GU49" t="s">
        <v>3</v>
      </c>
      <c r="GV49">
        <f t="shared" si="45"/>
        <v>0</v>
      </c>
      <c r="GW49">
        <v>1</v>
      </c>
      <c r="GX49">
        <f t="shared" si="46"/>
        <v>0</v>
      </c>
      <c r="HA49">
        <v>0</v>
      </c>
      <c r="HB49">
        <v>0</v>
      </c>
      <c r="IK49">
        <v>0</v>
      </c>
    </row>
    <row r="51" spans="1:245" x14ac:dyDescent="0.2">
      <c r="A51" s="3">
        <v>51</v>
      </c>
      <c r="B51" s="3">
        <f>B20</f>
        <v>1</v>
      </c>
      <c r="C51" s="3">
        <f>A20</f>
        <v>3</v>
      </c>
      <c r="D51" s="3">
        <f>ROW(A20)</f>
        <v>20</v>
      </c>
      <c r="E51" s="3"/>
      <c r="F51" s="3" t="str">
        <f>IF(F20&lt;&gt;"",F20,"")</f>
        <v>Новая локальная смета</v>
      </c>
      <c r="G51" s="3" t="str">
        <f>IF(G20&lt;&gt;"",G20,"")</f>
        <v>Новая локальная смета</v>
      </c>
      <c r="H51" s="3">
        <v>0</v>
      </c>
      <c r="I51" s="3"/>
      <c r="J51" s="3"/>
      <c r="K51" s="3"/>
      <c r="L51" s="3"/>
      <c r="M51" s="3"/>
      <c r="N51" s="3"/>
      <c r="O51" s="3">
        <f t="shared" ref="O51:T51" si="53">ROUND(AB51,2)</f>
        <v>27352.98</v>
      </c>
      <c r="P51" s="3">
        <f t="shared" si="53"/>
        <v>26858.2</v>
      </c>
      <c r="Q51" s="3">
        <f t="shared" si="53"/>
        <v>102.55</v>
      </c>
      <c r="R51" s="3">
        <f t="shared" si="53"/>
        <v>12.49</v>
      </c>
      <c r="S51" s="3">
        <f t="shared" si="53"/>
        <v>392.23</v>
      </c>
      <c r="T51" s="3">
        <f t="shared" si="53"/>
        <v>0</v>
      </c>
      <c r="U51" s="3">
        <f>AH51</f>
        <v>35.17</v>
      </c>
      <c r="V51" s="3">
        <f>AI51</f>
        <v>1.42</v>
      </c>
      <c r="W51" s="3">
        <f>ROUND(AJ51,2)</f>
        <v>0</v>
      </c>
      <c r="X51" s="3">
        <f>ROUND(AK51,2)</f>
        <v>316.37</v>
      </c>
      <c r="Y51" s="3">
        <f>ROUND(AL51,2)</f>
        <v>206.31</v>
      </c>
      <c r="Z51" s="3"/>
      <c r="AA51" s="3"/>
      <c r="AB51" s="3">
        <f>ROUND(SUMIF(AA24:AA49,"=34687670",O24:O49),2)</f>
        <v>27352.98</v>
      </c>
      <c r="AC51" s="3">
        <f>ROUND(SUMIF(AA24:AA49,"=34687670",P24:P49),2)</f>
        <v>26858.2</v>
      </c>
      <c r="AD51" s="3">
        <f>ROUND(SUMIF(AA24:AA49,"=34687670",Q24:Q49),2)</f>
        <v>102.55</v>
      </c>
      <c r="AE51" s="3">
        <f>ROUND(SUMIF(AA24:AA49,"=34687670",R24:R49),2)</f>
        <v>12.49</v>
      </c>
      <c r="AF51" s="3">
        <f>ROUND(SUMIF(AA24:AA49,"=34687670",S24:S49),2)</f>
        <v>392.23</v>
      </c>
      <c r="AG51" s="3">
        <f>ROUND(SUMIF(AA24:AA49,"=34687670",T24:T49),2)</f>
        <v>0</v>
      </c>
      <c r="AH51" s="3">
        <f>SUMIF(AA24:AA49,"=34687670",U24:U49)</f>
        <v>35.17</v>
      </c>
      <c r="AI51" s="3">
        <f>SUMIF(AA24:AA49,"=34687670",V24:V49)</f>
        <v>1.42</v>
      </c>
      <c r="AJ51" s="3">
        <f>ROUND(SUMIF(AA24:AA49,"=34687670",W24:W49),2)</f>
        <v>0</v>
      </c>
      <c r="AK51" s="3">
        <f>ROUND(SUMIF(AA24:AA49,"=34687670",X24:X49),2)</f>
        <v>316.37</v>
      </c>
      <c r="AL51" s="3">
        <f>ROUND(SUMIF(AA24:AA49,"=34687670",Y24:Y49),2)</f>
        <v>206.31</v>
      </c>
      <c r="AM51" s="3"/>
      <c r="AN51" s="3"/>
      <c r="AO51" s="3">
        <f t="shared" ref="AO51:BC51" si="54">ROUND(BX51,2)</f>
        <v>0</v>
      </c>
      <c r="AP51" s="3">
        <f t="shared" si="54"/>
        <v>0</v>
      </c>
      <c r="AQ51" s="3">
        <f t="shared" si="54"/>
        <v>0</v>
      </c>
      <c r="AR51" s="3">
        <f t="shared" si="54"/>
        <v>27875.66</v>
      </c>
      <c r="AS51" s="3">
        <f t="shared" si="54"/>
        <v>26858.19</v>
      </c>
      <c r="AT51" s="3">
        <f t="shared" si="54"/>
        <v>552.02</v>
      </c>
      <c r="AU51" s="3">
        <f t="shared" si="54"/>
        <v>465.45</v>
      </c>
      <c r="AV51" s="3">
        <f t="shared" si="54"/>
        <v>26858.2</v>
      </c>
      <c r="AW51" s="3">
        <f t="shared" si="54"/>
        <v>26858.2</v>
      </c>
      <c r="AX51" s="3">
        <f t="shared" si="54"/>
        <v>0</v>
      </c>
      <c r="AY51" s="3">
        <f t="shared" si="54"/>
        <v>26858.2</v>
      </c>
      <c r="AZ51" s="3">
        <f t="shared" si="54"/>
        <v>0</v>
      </c>
      <c r="BA51" s="3">
        <f t="shared" si="54"/>
        <v>0</v>
      </c>
      <c r="BB51" s="3">
        <f t="shared" si="54"/>
        <v>0</v>
      </c>
      <c r="BC51" s="3">
        <f t="shared" si="54"/>
        <v>0</v>
      </c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>
        <f>ROUND(SUMIF(AA24:AA49,"=34687670",FQ24:FQ49),2)</f>
        <v>0</v>
      </c>
      <c r="BY51" s="3">
        <f>ROUND(SUMIF(AA24:AA49,"=34687670",FR24:FR49),2)</f>
        <v>0</v>
      </c>
      <c r="BZ51" s="3">
        <f>ROUND(SUMIF(AA24:AA49,"=34687670",GL24:GL49),2)</f>
        <v>0</v>
      </c>
      <c r="CA51" s="3">
        <f>ROUND(SUMIF(AA24:AA49,"=34687670",GM24:GM49),2)</f>
        <v>27875.66</v>
      </c>
      <c r="CB51" s="3">
        <f>ROUND(SUMIF(AA24:AA49,"=34687670",GN24:GN49),2)</f>
        <v>26858.19</v>
      </c>
      <c r="CC51" s="3">
        <f>ROUND(SUMIF(AA24:AA49,"=34687670",GO24:GO49),2)</f>
        <v>552.02</v>
      </c>
      <c r="CD51" s="3">
        <f>ROUND(SUMIF(AA24:AA49,"=34687670",GP24:GP49),2)</f>
        <v>465.45</v>
      </c>
      <c r="CE51" s="3">
        <f>AC51-BX51</f>
        <v>26858.2</v>
      </c>
      <c r="CF51" s="3">
        <f>AC51-BY51</f>
        <v>26858.2</v>
      </c>
      <c r="CG51" s="3">
        <f>BX51-BZ51</f>
        <v>0</v>
      </c>
      <c r="CH51" s="3">
        <f>AC51-BX51-BY51+BZ51</f>
        <v>26858.2</v>
      </c>
      <c r="CI51" s="3">
        <f>BY51-BZ51</f>
        <v>0</v>
      </c>
      <c r="CJ51" s="3">
        <f>ROUND(SUMIF(AA24:AA49,"=34687670",GX24:GX49),2)</f>
        <v>0</v>
      </c>
      <c r="CK51" s="3">
        <f>ROUND(SUMIF(AA24:AA49,"=34687670",GY24:GY49),2)</f>
        <v>0</v>
      </c>
      <c r="CL51" s="3">
        <f>ROUND(SUMIF(AA24:AA49,"=34687670",GZ24:GZ49),2)</f>
        <v>0</v>
      </c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4">
        <f t="shared" ref="DG51:DL51" si="55">ROUND(DT51,2)</f>
        <v>209896.22</v>
      </c>
      <c r="DH51" s="4">
        <f t="shared" si="55"/>
        <v>201436.52</v>
      </c>
      <c r="DI51" s="4">
        <f t="shared" si="55"/>
        <v>1281.8800000000001</v>
      </c>
      <c r="DJ51" s="4">
        <f t="shared" si="55"/>
        <v>228.56</v>
      </c>
      <c r="DK51" s="4">
        <f t="shared" si="55"/>
        <v>7177.82</v>
      </c>
      <c r="DL51" s="4">
        <f t="shared" si="55"/>
        <v>0</v>
      </c>
      <c r="DM51" s="4">
        <f>DZ51</f>
        <v>35.17</v>
      </c>
      <c r="DN51" s="4">
        <f>EA51</f>
        <v>1.42</v>
      </c>
      <c r="DO51" s="4">
        <f>ROUND(EB51,2)</f>
        <v>0</v>
      </c>
      <c r="DP51" s="4">
        <f>ROUND(EC51,2)</f>
        <v>4918.8599999999997</v>
      </c>
      <c r="DQ51" s="4">
        <f>ROUND(ED51,2)</f>
        <v>3020.32</v>
      </c>
      <c r="DR51" s="4"/>
      <c r="DS51" s="4"/>
      <c r="DT51" s="4">
        <f>ROUND(SUMIF(AA24:AA49,"=34687671",O24:O49),2)</f>
        <v>209896.22</v>
      </c>
      <c r="DU51" s="4">
        <f>ROUND(SUMIF(AA24:AA49,"=34687671",P24:P49),2)</f>
        <v>201436.52</v>
      </c>
      <c r="DV51" s="4">
        <f>ROUND(SUMIF(AA24:AA49,"=34687671",Q24:Q49),2)</f>
        <v>1281.8800000000001</v>
      </c>
      <c r="DW51" s="4">
        <f>ROUND(SUMIF(AA24:AA49,"=34687671",R24:R49),2)</f>
        <v>228.56</v>
      </c>
      <c r="DX51" s="4">
        <f>ROUND(SUMIF(AA24:AA49,"=34687671",S24:S49),2)</f>
        <v>7177.82</v>
      </c>
      <c r="DY51" s="4">
        <f>ROUND(SUMIF(AA24:AA49,"=34687671",T24:T49),2)</f>
        <v>0</v>
      </c>
      <c r="DZ51" s="4">
        <f>SUMIF(AA24:AA49,"=34687671",U24:U49)</f>
        <v>35.17</v>
      </c>
      <c r="EA51" s="4">
        <f>SUMIF(AA24:AA49,"=34687671",V24:V49)</f>
        <v>1.42</v>
      </c>
      <c r="EB51" s="4">
        <f>ROUND(SUMIF(AA24:AA49,"=34687671",W24:W49),2)</f>
        <v>0</v>
      </c>
      <c r="EC51" s="4">
        <f>ROUND(SUMIF(AA24:AA49,"=34687671",X24:X49),2)</f>
        <v>4918.8599999999997</v>
      </c>
      <c r="ED51" s="4">
        <f>ROUND(SUMIF(AA24:AA49,"=34687671",Y24:Y49),2)</f>
        <v>3020.32</v>
      </c>
      <c r="EE51" s="4"/>
      <c r="EF51" s="4"/>
      <c r="EG51" s="4">
        <f t="shared" ref="EG51:EU51" si="56">ROUND(FP51,2)</f>
        <v>0</v>
      </c>
      <c r="EH51" s="4">
        <f t="shared" si="56"/>
        <v>0</v>
      </c>
      <c r="EI51" s="4">
        <f t="shared" si="56"/>
        <v>0</v>
      </c>
      <c r="EJ51" s="4">
        <f t="shared" si="56"/>
        <v>217835.4</v>
      </c>
      <c r="EK51" s="4">
        <f t="shared" si="56"/>
        <v>201436.44</v>
      </c>
      <c r="EL51" s="4">
        <f t="shared" si="56"/>
        <v>8629.07</v>
      </c>
      <c r="EM51" s="4">
        <f t="shared" si="56"/>
        <v>7769.89</v>
      </c>
      <c r="EN51" s="4">
        <f t="shared" si="56"/>
        <v>201436.52</v>
      </c>
      <c r="EO51" s="4">
        <f t="shared" si="56"/>
        <v>201436.52</v>
      </c>
      <c r="EP51" s="4">
        <f t="shared" si="56"/>
        <v>0</v>
      </c>
      <c r="EQ51" s="4">
        <f t="shared" si="56"/>
        <v>201436.52</v>
      </c>
      <c r="ER51" s="4">
        <f t="shared" si="56"/>
        <v>0</v>
      </c>
      <c r="ES51" s="4">
        <f t="shared" si="56"/>
        <v>0</v>
      </c>
      <c r="ET51" s="4">
        <f t="shared" si="56"/>
        <v>0</v>
      </c>
      <c r="EU51" s="4">
        <f t="shared" si="56"/>
        <v>0</v>
      </c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>
        <f>ROUND(SUMIF(AA24:AA49,"=34687671",FQ24:FQ49),2)</f>
        <v>0</v>
      </c>
      <c r="FQ51" s="4">
        <f>ROUND(SUMIF(AA24:AA49,"=34687671",FR24:FR49),2)</f>
        <v>0</v>
      </c>
      <c r="FR51" s="4">
        <f>ROUND(SUMIF(AA24:AA49,"=34687671",GL24:GL49),2)</f>
        <v>0</v>
      </c>
      <c r="FS51" s="4">
        <f>ROUND(SUMIF(AA24:AA49,"=34687671",GM24:GM49),2)</f>
        <v>217835.4</v>
      </c>
      <c r="FT51" s="4">
        <f>ROUND(SUMIF(AA24:AA49,"=34687671",GN24:GN49),2)</f>
        <v>201436.44</v>
      </c>
      <c r="FU51" s="4">
        <f>ROUND(SUMIF(AA24:AA49,"=34687671",GO24:GO49),2)</f>
        <v>8629.07</v>
      </c>
      <c r="FV51" s="4">
        <f>ROUND(SUMIF(AA24:AA49,"=34687671",GP24:GP49),2)</f>
        <v>7769.89</v>
      </c>
      <c r="FW51" s="4">
        <f>DU51-FP51</f>
        <v>201436.52</v>
      </c>
      <c r="FX51" s="4">
        <f>DU51-FQ51</f>
        <v>201436.52</v>
      </c>
      <c r="FY51" s="4">
        <f>FP51-FR51</f>
        <v>0</v>
      </c>
      <c r="FZ51" s="4">
        <f>DU51-FP51-FQ51+FR51</f>
        <v>201436.52</v>
      </c>
      <c r="GA51" s="4">
        <f>FQ51-FR51</f>
        <v>0</v>
      </c>
      <c r="GB51" s="4">
        <f>ROUND(SUMIF(AA24:AA49,"=34687671",GX24:GX49),2)</f>
        <v>0</v>
      </c>
      <c r="GC51" s="4">
        <f>ROUND(SUMIF(AA24:AA49,"=34687671",GY24:GY49),2)</f>
        <v>0</v>
      </c>
      <c r="GD51" s="4">
        <f>ROUND(SUMIF(AA24:AA49,"=34687671",GZ24:GZ49),2)</f>
        <v>0</v>
      </c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>
        <v>0</v>
      </c>
    </row>
    <row r="53" spans="1:245" x14ac:dyDescent="0.2">
      <c r="A53" s="5">
        <v>50</v>
      </c>
      <c r="B53" s="5">
        <v>0</v>
      </c>
      <c r="C53" s="5">
        <v>0</v>
      </c>
      <c r="D53" s="5">
        <v>1</v>
      </c>
      <c r="E53" s="5">
        <v>201</v>
      </c>
      <c r="F53" s="5">
        <f>ROUND(Source!O51,O53)</f>
        <v>27352.98</v>
      </c>
      <c r="G53" s="5" t="s">
        <v>73</v>
      </c>
      <c r="H53" s="5" t="s">
        <v>74</v>
      </c>
      <c r="I53" s="5"/>
      <c r="J53" s="5"/>
      <c r="K53" s="5">
        <v>201</v>
      </c>
      <c r="L53" s="5">
        <v>1</v>
      </c>
      <c r="M53" s="5">
        <v>3</v>
      </c>
      <c r="N53" s="5" t="s">
        <v>3</v>
      </c>
      <c r="O53" s="5">
        <v>2</v>
      </c>
      <c r="P53" s="5">
        <f>ROUND(Source!DG51,O53)</f>
        <v>209896.22</v>
      </c>
      <c r="Q53" s="5"/>
      <c r="R53" s="5"/>
      <c r="S53" s="5"/>
      <c r="T53" s="5"/>
      <c r="U53" s="5"/>
      <c r="V53" s="5"/>
      <c r="W53" s="5"/>
    </row>
    <row r="54" spans="1:245" x14ac:dyDescent="0.2">
      <c r="A54" s="5">
        <v>50</v>
      </c>
      <c r="B54" s="5">
        <v>0</v>
      </c>
      <c r="C54" s="5">
        <v>0</v>
      </c>
      <c r="D54" s="5">
        <v>1</v>
      </c>
      <c r="E54" s="5">
        <v>202</v>
      </c>
      <c r="F54" s="5">
        <f>ROUND(Source!P51,O54)</f>
        <v>26858.2</v>
      </c>
      <c r="G54" s="5" t="s">
        <v>75</v>
      </c>
      <c r="H54" s="5" t="s">
        <v>76</v>
      </c>
      <c r="I54" s="5"/>
      <c r="J54" s="5"/>
      <c r="K54" s="5">
        <v>202</v>
      </c>
      <c r="L54" s="5">
        <v>2</v>
      </c>
      <c r="M54" s="5">
        <v>3</v>
      </c>
      <c r="N54" s="5" t="s">
        <v>3</v>
      </c>
      <c r="O54" s="5">
        <v>2</v>
      </c>
      <c r="P54" s="5">
        <f>ROUND(Source!DH51,O54)</f>
        <v>201436.52</v>
      </c>
      <c r="Q54" s="5"/>
      <c r="R54" s="5"/>
      <c r="S54" s="5"/>
      <c r="T54" s="5"/>
      <c r="U54" s="5"/>
      <c r="V54" s="5"/>
      <c r="W54" s="5"/>
    </row>
    <row r="55" spans="1:245" x14ac:dyDescent="0.2">
      <c r="A55" s="5">
        <v>50</v>
      </c>
      <c r="B55" s="5">
        <v>0</v>
      </c>
      <c r="C55" s="5">
        <v>0</v>
      </c>
      <c r="D55" s="5">
        <v>1</v>
      </c>
      <c r="E55" s="5">
        <v>222</v>
      </c>
      <c r="F55" s="5">
        <f>ROUND(Source!AO51,O55)</f>
        <v>0</v>
      </c>
      <c r="G55" s="5" t="s">
        <v>77</v>
      </c>
      <c r="H55" s="5" t="s">
        <v>78</v>
      </c>
      <c r="I55" s="5"/>
      <c r="J55" s="5"/>
      <c r="K55" s="5">
        <v>222</v>
      </c>
      <c r="L55" s="5">
        <v>3</v>
      </c>
      <c r="M55" s="5">
        <v>3</v>
      </c>
      <c r="N55" s="5" t="s">
        <v>3</v>
      </c>
      <c r="O55" s="5">
        <v>2</v>
      </c>
      <c r="P55" s="5">
        <f>ROUND(Source!EG51,O55)</f>
        <v>0</v>
      </c>
      <c r="Q55" s="5"/>
      <c r="R55" s="5"/>
      <c r="S55" s="5"/>
      <c r="T55" s="5"/>
      <c r="U55" s="5"/>
      <c r="V55" s="5"/>
      <c r="W55" s="5"/>
    </row>
    <row r="56" spans="1:245" x14ac:dyDescent="0.2">
      <c r="A56" s="5">
        <v>50</v>
      </c>
      <c r="B56" s="5">
        <v>0</v>
      </c>
      <c r="C56" s="5">
        <v>0</v>
      </c>
      <c r="D56" s="5">
        <v>1</v>
      </c>
      <c r="E56" s="5">
        <v>225</v>
      </c>
      <c r="F56" s="5">
        <f>ROUND(Source!AV51,O56)</f>
        <v>26858.2</v>
      </c>
      <c r="G56" s="5" t="s">
        <v>79</v>
      </c>
      <c r="H56" s="5" t="s">
        <v>80</v>
      </c>
      <c r="I56" s="5"/>
      <c r="J56" s="5"/>
      <c r="K56" s="5">
        <v>225</v>
      </c>
      <c r="L56" s="5">
        <v>4</v>
      </c>
      <c r="M56" s="5">
        <v>3</v>
      </c>
      <c r="N56" s="5" t="s">
        <v>3</v>
      </c>
      <c r="O56" s="5">
        <v>2</v>
      </c>
      <c r="P56" s="5">
        <f>ROUND(Source!EN51,O56)</f>
        <v>201436.52</v>
      </c>
      <c r="Q56" s="5"/>
      <c r="R56" s="5"/>
      <c r="S56" s="5"/>
      <c r="T56" s="5"/>
      <c r="U56" s="5"/>
      <c r="V56" s="5"/>
      <c r="W56" s="5"/>
    </row>
    <row r="57" spans="1:245" x14ac:dyDescent="0.2">
      <c r="A57" s="5">
        <v>50</v>
      </c>
      <c r="B57" s="5">
        <v>0</v>
      </c>
      <c r="C57" s="5">
        <v>0</v>
      </c>
      <c r="D57" s="5">
        <v>1</v>
      </c>
      <c r="E57" s="5">
        <v>226</v>
      </c>
      <c r="F57" s="5">
        <f>ROUND(Source!AW51,O57)</f>
        <v>26858.2</v>
      </c>
      <c r="G57" s="5" t="s">
        <v>81</v>
      </c>
      <c r="H57" s="5" t="s">
        <v>82</v>
      </c>
      <c r="I57" s="5"/>
      <c r="J57" s="5"/>
      <c r="K57" s="5">
        <v>226</v>
      </c>
      <c r="L57" s="5">
        <v>5</v>
      </c>
      <c r="M57" s="5">
        <v>3</v>
      </c>
      <c r="N57" s="5" t="s">
        <v>3</v>
      </c>
      <c r="O57" s="5">
        <v>2</v>
      </c>
      <c r="P57" s="5">
        <f>ROUND(Source!EO51,O57)</f>
        <v>201436.52</v>
      </c>
      <c r="Q57" s="5"/>
      <c r="R57" s="5"/>
      <c r="S57" s="5"/>
      <c r="T57" s="5"/>
      <c r="U57" s="5"/>
      <c r="V57" s="5"/>
      <c r="W57" s="5"/>
    </row>
    <row r="58" spans="1:245" x14ac:dyDescent="0.2">
      <c r="A58" s="5">
        <v>50</v>
      </c>
      <c r="B58" s="5">
        <v>0</v>
      </c>
      <c r="C58" s="5">
        <v>0</v>
      </c>
      <c r="D58" s="5">
        <v>1</v>
      </c>
      <c r="E58" s="5">
        <v>227</v>
      </c>
      <c r="F58" s="5">
        <f>ROUND(Source!AX51,O58)</f>
        <v>0</v>
      </c>
      <c r="G58" s="5" t="s">
        <v>83</v>
      </c>
      <c r="H58" s="5" t="s">
        <v>84</v>
      </c>
      <c r="I58" s="5"/>
      <c r="J58" s="5"/>
      <c r="K58" s="5">
        <v>227</v>
      </c>
      <c r="L58" s="5">
        <v>6</v>
      </c>
      <c r="M58" s="5">
        <v>3</v>
      </c>
      <c r="N58" s="5" t="s">
        <v>3</v>
      </c>
      <c r="O58" s="5">
        <v>2</v>
      </c>
      <c r="P58" s="5">
        <f>ROUND(Source!EP51,O58)</f>
        <v>0</v>
      </c>
      <c r="Q58" s="5"/>
      <c r="R58" s="5"/>
      <c r="S58" s="5"/>
      <c r="T58" s="5"/>
      <c r="U58" s="5"/>
      <c r="V58" s="5"/>
      <c r="W58" s="5"/>
    </row>
    <row r="59" spans="1:245" x14ac:dyDescent="0.2">
      <c r="A59" s="5">
        <v>50</v>
      </c>
      <c r="B59" s="5">
        <v>0</v>
      </c>
      <c r="C59" s="5">
        <v>0</v>
      </c>
      <c r="D59" s="5">
        <v>1</v>
      </c>
      <c r="E59" s="5">
        <v>228</v>
      </c>
      <c r="F59" s="5">
        <f>ROUND(Source!AY51,O59)</f>
        <v>26858.2</v>
      </c>
      <c r="G59" s="5" t="s">
        <v>85</v>
      </c>
      <c r="H59" s="5" t="s">
        <v>86</v>
      </c>
      <c r="I59" s="5"/>
      <c r="J59" s="5"/>
      <c r="K59" s="5">
        <v>228</v>
      </c>
      <c r="L59" s="5">
        <v>7</v>
      </c>
      <c r="M59" s="5">
        <v>3</v>
      </c>
      <c r="N59" s="5" t="s">
        <v>3</v>
      </c>
      <c r="O59" s="5">
        <v>2</v>
      </c>
      <c r="P59" s="5">
        <f>ROUND(Source!EQ51,O59)</f>
        <v>201436.52</v>
      </c>
      <c r="Q59" s="5"/>
      <c r="R59" s="5"/>
      <c r="S59" s="5"/>
      <c r="T59" s="5"/>
      <c r="U59" s="5"/>
      <c r="V59" s="5"/>
      <c r="W59" s="5"/>
    </row>
    <row r="60" spans="1:245" x14ac:dyDescent="0.2">
      <c r="A60" s="5">
        <v>50</v>
      </c>
      <c r="B60" s="5">
        <v>0</v>
      </c>
      <c r="C60" s="5">
        <v>0</v>
      </c>
      <c r="D60" s="5">
        <v>1</v>
      </c>
      <c r="E60" s="5">
        <v>216</v>
      </c>
      <c r="F60" s="5">
        <f>ROUND(Source!AP51,O60)</f>
        <v>0</v>
      </c>
      <c r="G60" s="5" t="s">
        <v>87</v>
      </c>
      <c r="H60" s="5" t="s">
        <v>88</v>
      </c>
      <c r="I60" s="5"/>
      <c r="J60" s="5"/>
      <c r="K60" s="5">
        <v>216</v>
      </c>
      <c r="L60" s="5">
        <v>8</v>
      </c>
      <c r="M60" s="5">
        <v>3</v>
      </c>
      <c r="N60" s="5" t="s">
        <v>3</v>
      </c>
      <c r="O60" s="5">
        <v>2</v>
      </c>
      <c r="P60" s="5">
        <f>ROUND(Source!EH51,O60)</f>
        <v>0</v>
      </c>
      <c r="Q60" s="5"/>
      <c r="R60" s="5"/>
      <c r="S60" s="5"/>
      <c r="T60" s="5"/>
      <c r="U60" s="5"/>
      <c r="V60" s="5"/>
      <c r="W60" s="5"/>
    </row>
    <row r="61" spans="1:245" x14ac:dyDescent="0.2">
      <c r="A61" s="5">
        <v>50</v>
      </c>
      <c r="B61" s="5">
        <v>0</v>
      </c>
      <c r="C61" s="5">
        <v>0</v>
      </c>
      <c r="D61" s="5">
        <v>1</v>
      </c>
      <c r="E61" s="5">
        <v>223</v>
      </c>
      <c r="F61" s="5">
        <f>ROUND(Source!AQ51,O61)</f>
        <v>0</v>
      </c>
      <c r="G61" s="5" t="s">
        <v>89</v>
      </c>
      <c r="H61" s="5" t="s">
        <v>90</v>
      </c>
      <c r="I61" s="5"/>
      <c r="J61" s="5"/>
      <c r="K61" s="5">
        <v>223</v>
      </c>
      <c r="L61" s="5">
        <v>9</v>
      </c>
      <c r="M61" s="5">
        <v>3</v>
      </c>
      <c r="N61" s="5" t="s">
        <v>3</v>
      </c>
      <c r="O61" s="5">
        <v>2</v>
      </c>
      <c r="P61" s="5">
        <f>ROUND(Source!EI51,O61)</f>
        <v>0</v>
      </c>
      <c r="Q61" s="5"/>
      <c r="R61" s="5"/>
      <c r="S61" s="5"/>
      <c r="T61" s="5"/>
      <c r="U61" s="5"/>
      <c r="V61" s="5"/>
      <c r="W61" s="5"/>
    </row>
    <row r="62" spans="1:245" x14ac:dyDescent="0.2">
      <c r="A62" s="5">
        <v>50</v>
      </c>
      <c r="B62" s="5">
        <v>0</v>
      </c>
      <c r="C62" s="5">
        <v>0</v>
      </c>
      <c r="D62" s="5">
        <v>1</v>
      </c>
      <c r="E62" s="5">
        <v>229</v>
      </c>
      <c r="F62" s="5">
        <f>ROUND(Source!AZ51,O62)</f>
        <v>0</v>
      </c>
      <c r="G62" s="5" t="s">
        <v>91</v>
      </c>
      <c r="H62" s="5" t="s">
        <v>92</v>
      </c>
      <c r="I62" s="5"/>
      <c r="J62" s="5"/>
      <c r="K62" s="5">
        <v>229</v>
      </c>
      <c r="L62" s="5">
        <v>10</v>
      </c>
      <c r="M62" s="5">
        <v>3</v>
      </c>
      <c r="N62" s="5" t="s">
        <v>3</v>
      </c>
      <c r="O62" s="5">
        <v>2</v>
      </c>
      <c r="P62" s="5">
        <f>ROUND(Source!ER51,O62)</f>
        <v>0</v>
      </c>
      <c r="Q62" s="5"/>
      <c r="R62" s="5"/>
      <c r="S62" s="5"/>
      <c r="T62" s="5"/>
      <c r="U62" s="5"/>
      <c r="V62" s="5"/>
      <c r="W62" s="5"/>
    </row>
    <row r="63" spans="1:245" x14ac:dyDescent="0.2">
      <c r="A63" s="5">
        <v>50</v>
      </c>
      <c r="B63" s="5">
        <v>0</v>
      </c>
      <c r="C63" s="5">
        <v>0</v>
      </c>
      <c r="D63" s="5">
        <v>1</v>
      </c>
      <c r="E63" s="5">
        <v>203</v>
      </c>
      <c r="F63" s="5">
        <f>ROUND(Source!Q51,O63)</f>
        <v>102.55</v>
      </c>
      <c r="G63" s="5" t="s">
        <v>93</v>
      </c>
      <c r="H63" s="5" t="s">
        <v>94</v>
      </c>
      <c r="I63" s="5"/>
      <c r="J63" s="5"/>
      <c r="K63" s="5">
        <v>203</v>
      </c>
      <c r="L63" s="5">
        <v>11</v>
      </c>
      <c r="M63" s="5">
        <v>3</v>
      </c>
      <c r="N63" s="5" t="s">
        <v>3</v>
      </c>
      <c r="O63" s="5">
        <v>2</v>
      </c>
      <c r="P63" s="5">
        <f>ROUND(Source!DI51,O63)</f>
        <v>1281.8800000000001</v>
      </c>
      <c r="Q63" s="5"/>
      <c r="R63" s="5"/>
      <c r="S63" s="5"/>
      <c r="T63" s="5"/>
      <c r="U63" s="5"/>
      <c r="V63" s="5"/>
      <c r="W63" s="5"/>
    </row>
    <row r="64" spans="1:245" x14ac:dyDescent="0.2">
      <c r="A64" s="5">
        <v>50</v>
      </c>
      <c r="B64" s="5">
        <v>0</v>
      </c>
      <c r="C64" s="5">
        <v>0</v>
      </c>
      <c r="D64" s="5">
        <v>1</v>
      </c>
      <c r="E64" s="5">
        <v>231</v>
      </c>
      <c r="F64" s="5">
        <f>ROUND(Source!BB51,O64)</f>
        <v>0</v>
      </c>
      <c r="G64" s="5" t="s">
        <v>95</v>
      </c>
      <c r="H64" s="5" t="s">
        <v>96</v>
      </c>
      <c r="I64" s="5"/>
      <c r="J64" s="5"/>
      <c r="K64" s="5">
        <v>231</v>
      </c>
      <c r="L64" s="5">
        <v>12</v>
      </c>
      <c r="M64" s="5">
        <v>3</v>
      </c>
      <c r="N64" s="5" t="s">
        <v>3</v>
      </c>
      <c r="O64" s="5">
        <v>2</v>
      </c>
      <c r="P64" s="5">
        <f>ROUND(Source!ET51,O64)</f>
        <v>0</v>
      </c>
      <c r="Q64" s="5"/>
      <c r="R64" s="5"/>
      <c r="S64" s="5"/>
      <c r="T64" s="5"/>
      <c r="U64" s="5"/>
      <c r="V64" s="5"/>
      <c r="W64" s="5"/>
    </row>
    <row r="65" spans="1:206" x14ac:dyDescent="0.2">
      <c r="A65" s="5">
        <v>50</v>
      </c>
      <c r="B65" s="5">
        <v>0</v>
      </c>
      <c r="C65" s="5">
        <v>0</v>
      </c>
      <c r="D65" s="5">
        <v>1</v>
      </c>
      <c r="E65" s="5">
        <v>204</v>
      </c>
      <c r="F65" s="5">
        <f>ROUND(Source!R51,O65)</f>
        <v>12.49</v>
      </c>
      <c r="G65" s="5" t="s">
        <v>97</v>
      </c>
      <c r="H65" s="5" t="s">
        <v>98</v>
      </c>
      <c r="I65" s="5"/>
      <c r="J65" s="5"/>
      <c r="K65" s="5">
        <v>204</v>
      </c>
      <c r="L65" s="5">
        <v>13</v>
      </c>
      <c r="M65" s="5">
        <v>3</v>
      </c>
      <c r="N65" s="5" t="s">
        <v>3</v>
      </c>
      <c r="O65" s="5">
        <v>2</v>
      </c>
      <c r="P65" s="5">
        <f>ROUND(Source!DJ51,O65)</f>
        <v>228.56</v>
      </c>
      <c r="Q65" s="5"/>
      <c r="R65" s="5"/>
      <c r="S65" s="5"/>
      <c r="T65" s="5"/>
      <c r="U65" s="5"/>
      <c r="V65" s="5"/>
      <c r="W65" s="5"/>
    </row>
    <row r="66" spans="1:206" x14ac:dyDescent="0.2">
      <c r="A66" s="5">
        <v>50</v>
      </c>
      <c r="B66" s="5">
        <v>0</v>
      </c>
      <c r="C66" s="5">
        <v>0</v>
      </c>
      <c r="D66" s="5">
        <v>1</v>
      </c>
      <c r="E66" s="5">
        <v>205</v>
      </c>
      <c r="F66" s="5">
        <f>ROUND(Source!S51,O66)</f>
        <v>392.23</v>
      </c>
      <c r="G66" s="5" t="s">
        <v>99</v>
      </c>
      <c r="H66" s="5" t="s">
        <v>100</v>
      </c>
      <c r="I66" s="5"/>
      <c r="J66" s="5"/>
      <c r="K66" s="5">
        <v>205</v>
      </c>
      <c r="L66" s="5">
        <v>14</v>
      </c>
      <c r="M66" s="5">
        <v>3</v>
      </c>
      <c r="N66" s="5" t="s">
        <v>3</v>
      </c>
      <c r="O66" s="5">
        <v>2</v>
      </c>
      <c r="P66" s="5">
        <f>ROUND(Source!DK51,O66)</f>
        <v>7177.82</v>
      </c>
      <c r="Q66" s="5"/>
      <c r="R66" s="5"/>
      <c r="S66" s="5"/>
      <c r="T66" s="5"/>
      <c r="U66" s="5"/>
      <c r="V66" s="5"/>
      <c r="W66" s="5"/>
    </row>
    <row r="67" spans="1:206" x14ac:dyDescent="0.2">
      <c r="A67" s="5">
        <v>50</v>
      </c>
      <c r="B67" s="5">
        <v>0</v>
      </c>
      <c r="C67" s="5">
        <v>0</v>
      </c>
      <c r="D67" s="5">
        <v>1</v>
      </c>
      <c r="E67" s="5">
        <v>232</v>
      </c>
      <c r="F67" s="5">
        <f>ROUND(Source!BC51,O67)</f>
        <v>0</v>
      </c>
      <c r="G67" s="5" t="s">
        <v>101</v>
      </c>
      <c r="H67" s="5" t="s">
        <v>102</v>
      </c>
      <c r="I67" s="5"/>
      <c r="J67" s="5"/>
      <c r="K67" s="5">
        <v>232</v>
      </c>
      <c r="L67" s="5">
        <v>15</v>
      </c>
      <c r="M67" s="5">
        <v>3</v>
      </c>
      <c r="N67" s="5" t="s">
        <v>3</v>
      </c>
      <c r="O67" s="5">
        <v>2</v>
      </c>
      <c r="P67" s="5">
        <f>ROUND(Source!EU51,O67)</f>
        <v>0</v>
      </c>
      <c r="Q67" s="5"/>
      <c r="R67" s="5"/>
      <c r="S67" s="5"/>
      <c r="T67" s="5"/>
      <c r="U67" s="5"/>
      <c r="V67" s="5"/>
      <c r="W67" s="5"/>
    </row>
    <row r="68" spans="1:206" x14ac:dyDescent="0.2">
      <c r="A68" s="5">
        <v>50</v>
      </c>
      <c r="B68" s="5">
        <v>0</v>
      </c>
      <c r="C68" s="5">
        <v>0</v>
      </c>
      <c r="D68" s="5">
        <v>1</v>
      </c>
      <c r="E68" s="5">
        <v>214</v>
      </c>
      <c r="F68" s="5">
        <f>ROUND(Source!AS51,O68)</f>
        <v>26858.19</v>
      </c>
      <c r="G68" s="5" t="s">
        <v>103</v>
      </c>
      <c r="H68" s="5" t="s">
        <v>104</v>
      </c>
      <c r="I68" s="5"/>
      <c r="J68" s="5"/>
      <c r="K68" s="5">
        <v>214</v>
      </c>
      <c r="L68" s="5">
        <v>16</v>
      </c>
      <c r="M68" s="5">
        <v>3</v>
      </c>
      <c r="N68" s="5" t="s">
        <v>3</v>
      </c>
      <c r="O68" s="5">
        <v>2</v>
      </c>
      <c r="P68" s="5">
        <f>ROUND(Source!EK51,O68)</f>
        <v>201436.44</v>
      </c>
      <c r="Q68" s="5"/>
      <c r="R68" s="5"/>
      <c r="S68" s="5"/>
      <c r="T68" s="5"/>
      <c r="U68" s="5"/>
      <c r="V68" s="5"/>
      <c r="W68" s="5"/>
    </row>
    <row r="69" spans="1:206" x14ac:dyDescent="0.2">
      <c r="A69" s="5">
        <v>50</v>
      </c>
      <c r="B69" s="5">
        <v>0</v>
      </c>
      <c r="C69" s="5">
        <v>0</v>
      </c>
      <c r="D69" s="5">
        <v>1</v>
      </c>
      <c r="E69" s="5">
        <v>215</v>
      </c>
      <c r="F69" s="5">
        <f>ROUND(Source!AT51,O69)</f>
        <v>552.02</v>
      </c>
      <c r="G69" s="5" t="s">
        <v>105</v>
      </c>
      <c r="H69" s="5" t="s">
        <v>106</v>
      </c>
      <c r="I69" s="5"/>
      <c r="J69" s="5"/>
      <c r="K69" s="5">
        <v>215</v>
      </c>
      <c r="L69" s="5">
        <v>17</v>
      </c>
      <c r="M69" s="5">
        <v>3</v>
      </c>
      <c r="N69" s="5" t="s">
        <v>3</v>
      </c>
      <c r="O69" s="5">
        <v>2</v>
      </c>
      <c r="P69" s="5">
        <f>ROUND(Source!EL51,O69)</f>
        <v>8629.07</v>
      </c>
      <c r="Q69" s="5"/>
      <c r="R69" s="5"/>
      <c r="S69" s="5"/>
      <c r="T69" s="5"/>
      <c r="U69" s="5"/>
      <c r="V69" s="5"/>
      <c r="W69" s="5"/>
    </row>
    <row r="70" spans="1:206" x14ac:dyDescent="0.2">
      <c r="A70" s="5">
        <v>50</v>
      </c>
      <c r="B70" s="5">
        <v>0</v>
      </c>
      <c r="C70" s="5">
        <v>0</v>
      </c>
      <c r="D70" s="5">
        <v>1</v>
      </c>
      <c r="E70" s="5">
        <v>217</v>
      </c>
      <c r="F70" s="5">
        <f>ROUND(Source!AU51,O70)</f>
        <v>465.45</v>
      </c>
      <c r="G70" s="5" t="s">
        <v>107</v>
      </c>
      <c r="H70" s="5" t="s">
        <v>108</v>
      </c>
      <c r="I70" s="5"/>
      <c r="J70" s="5"/>
      <c r="K70" s="5">
        <v>217</v>
      </c>
      <c r="L70" s="5">
        <v>18</v>
      </c>
      <c r="M70" s="5">
        <v>3</v>
      </c>
      <c r="N70" s="5" t="s">
        <v>3</v>
      </c>
      <c r="O70" s="5">
        <v>2</v>
      </c>
      <c r="P70" s="5">
        <f>ROUND(Source!EM51,O70)</f>
        <v>7769.89</v>
      </c>
      <c r="Q70" s="5"/>
      <c r="R70" s="5"/>
      <c r="S70" s="5"/>
      <c r="T70" s="5"/>
      <c r="U70" s="5"/>
      <c r="V70" s="5"/>
      <c r="W70" s="5"/>
    </row>
    <row r="71" spans="1:206" x14ac:dyDescent="0.2">
      <c r="A71" s="5">
        <v>50</v>
      </c>
      <c r="B71" s="5">
        <v>0</v>
      </c>
      <c r="C71" s="5">
        <v>0</v>
      </c>
      <c r="D71" s="5">
        <v>1</v>
      </c>
      <c r="E71" s="5">
        <v>230</v>
      </c>
      <c r="F71" s="5">
        <f>ROUND(Source!BA51,O71)</f>
        <v>0</v>
      </c>
      <c r="G71" s="5" t="s">
        <v>109</v>
      </c>
      <c r="H71" s="5" t="s">
        <v>110</v>
      </c>
      <c r="I71" s="5"/>
      <c r="J71" s="5"/>
      <c r="K71" s="5">
        <v>230</v>
      </c>
      <c r="L71" s="5">
        <v>19</v>
      </c>
      <c r="M71" s="5">
        <v>3</v>
      </c>
      <c r="N71" s="5" t="s">
        <v>3</v>
      </c>
      <c r="O71" s="5">
        <v>2</v>
      </c>
      <c r="P71" s="5">
        <f>ROUND(Source!ES51,O71)</f>
        <v>0</v>
      </c>
      <c r="Q71" s="5"/>
      <c r="R71" s="5"/>
      <c r="S71" s="5"/>
      <c r="T71" s="5"/>
      <c r="U71" s="5"/>
      <c r="V71" s="5"/>
      <c r="W71" s="5"/>
    </row>
    <row r="72" spans="1:206" x14ac:dyDescent="0.2">
      <c r="A72" s="5">
        <v>50</v>
      </c>
      <c r="B72" s="5">
        <v>0</v>
      </c>
      <c r="C72" s="5">
        <v>0</v>
      </c>
      <c r="D72" s="5">
        <v>1</v>
      </c>
      <c r="E72" s="5">
        <v>206</v>
      </c>
      <c r="F72" s="5">
        <f>ROUND(Source!T51,O72)</f>
        <v>0</v>
      </c>
      <c r="G72" s="5" t="s">
        <v>111</v>
      </c>
      <c r="H72" s="5" t="s">
        <v>112</v>
      </c>
      <c r="I72" s="5"/>
      <c r="J72" s="5"/>
      <c r="K72" s="5">
        <v>206</v>
      </c>
      <c r="L72" s="5">
        <v>20</v>
      </c>
      <c r="M72" s="5">
        <v>3</v>
      </c>
      <c r="N72" s="5" t="s">
        <v>3</v>
      </c>
      <c r="O72" s="5">
        <v>2</v>
      </c>
      <c r="P72" s="5">
        <f>ROUND(Source!DL51,O72)</f>
        <v>0</v>
      </c>
      <c r="Q72" s="5"/>
      <c r="R72" s="5"/>
      <c r="S72" s="5"/>
      <c r="T72" s="5"/>
      <c r="U72" s="5"/>
      <c r="V72" s="5"/>
      <c r="W72" s="5"/>
    </row>
    <row r="73" spans="1:206" x14ac:dyDescent="0.2">
      <c r="A73" s="5">
        <v>50</v>
      </c>
      <c r="B73" s="5">
        <v>0</v>
      </c>
      <c r="C73" s="5">
        <v>0</v>
      </c>
      <c r="D73" s="5">
        <v>1</v>
      </c>
      <c r="E73" s="5">
        <v>207</v>
      </c>
      <c r="F73" s="5">
        <f>Source!U51</f>
        <v>35.17</v>
      </c>
      <c r="G73" s="5" t="s">
        <v>113</v>
      </c>
      <c r="H73" s="5" t="s">
        <v>114</v>
      </c>
      <c r="I73" s="5"/>
      <c r="J73" s="5"/>
      <c r="K73" s="5">
        <v>207</v>
      </c>
      <c r="L73" s="5">
        <v>21</v>
      </c>
      <c r="M73" s="5">
        <v>3</v>
      </c>
      <c r="N73" s="5" t="s">
        <v>3</v>
      </c>
      <c r="O73" s="5">
        <v>-1</v>
      </c>
      <c r="P73" s="5">
        <f>Source!DM51</f>
        <v>35.17</v>
      </c>
      <c r="Q73" s="5"/>
      <c r="R73" s="5"/>
      <c r="S73" s="5"/>
      <c r="T73" s="5"/>
      <c r="U73" s="5"/>
      <c r="V73" s="5"/>
      <c r="W73" s="5"/>
    </row>
    <row r="74" spans="1:206" x14ac:dyDescent="0.2">
      <c r="A74" s="5">
        <v>50</v>
      </c>
      <c r="B74" s="5">
        <v>0</v>
      </c>
      <c r="C74" s="5">
        <v>0</v>
      </c>
      <c r="D74" s="5">
        <v>1</v>
      </c>
      <c r="E74" s="5">
        <v>208</v>
      </c>
      <c r="F74" s="5">
        <f>Source!V51</f>
        <v>1.42</v>
      </c>
      <c r="G74" s="5" t="s">
        <v>115</v>
      </c>
      <c r="H74" s="5" t="s">
        <v>116</v>
      </c>
      <c r="I74" s="5"/>
      <c r="J74" s="5"/>
      <c r="K74" s="5">
        <v>208</v>
      </c>
      <c r="L74" s="5">
        <v>22</v>
      </c>
      <c r="M74" s="5">
        <v>3</v>
      </c>
      <c r="N74" s="5" t="s">
        <v>3</v>
      </c>
      <c r="O74" s="5">
        <v>-1</v>
      </c>
      <c r="P74" s="5">
        <f>Source!DN51</f>
        <v>1.42</v>
      </c>
      <c r="Q74" s="5"/>
      <c r="R74" s="5"/>
      <c r="S74" s="5"/>
      <c r="T74" s="5"/>
      <c r="U74" s="5"/>
      <c r="V74" s="5"/>
      <c r="W74" s="5"/>
    </row>
    <row r="75" spans="1:206" x14ac:dyDescent="0.2">
      <c r="A75" s="5">
        <v>50</v>
      </c>
      <c r="B75" s="5">
        <v>0</v>
      </c>
      <c r="C75" s="5">
        <v>0</v>
      </c>
      <c r="D75" s="5">
        <v>1</v>
      </c>
      <c r="E75" s="5">
        <v>209</v>
      </c>
      <c r="F75" s="5">
        <f>ROUND(Source!W51,O75)</f>
        <v>0</v>
      </c>
      <c r="G75" s="5" t="s">
        <v>117</v>
      </c>
      <c r="H75" s="5" t="s">
        <v>118</v>
      </c>
      <c r="I75" s="5"/>
      <c r="J75" s="5"/>
      <c r="K75" s="5">
        <v>209</v>
      </c>
      <c r="L75" s="5">
        <v>23</v>
      </c>
      <c r="M75" s="5">
        <v>3</v>
      </c>
      <c r="N75" s="5" t="s">
        <v>3</v>
      </c>
      <c r="O75" s="5">
        <v>2</v>
      </c>
      <c r="P75" s="5">
        <f>ROUND(Source!DO51,O75)</f>
        <v>0</v>
      </c>
      <c r="Q75" s="5"/>
      <c r="R75" s="5"/>
      <c r="S75" s="5"/>
      <c r="T75" s="5"/>
      <c r="U75" s="5"/>
      <c r="V75" s="5"/>
      <c r="W75" s="5"/>
    </row>
    <row r="76" spans="1:206" x14ac:dyDescent="0.2">
      <c r="A76" s="5">
        <v>50</v>
      </c>
      <c r="B76" s="5">
        <v>0</v>
      </c>
      <c r="C76" s="5">
        <v>0</v>
      </c>
      <c r="D76" s="5">
        <v>1</v>
      </c>
      <c r="E76" s="5">
        <v>210</v>
      </c>
      <c r="F76" s="5">
        <f>ROUND(Source!X51,O76)</f>
        <v>316.37</v>
      </c>
      <c r="G76" s="5" t="s">
        <v>119</v>
      </c>
      <c r="H76" s="5" t="s">
        <v>120</v>
      </c>
      <c r="I76" s="5"/>
      <c r="J76" s="5"/>
      <c r="K76" s="5">
        <v>210</v>
      </c>
      <c r="L76" s="5">
        <v>24</v>
      </c>
      <c r="M76" s="5">
        <v>3</v>
      </c>
      <c r="N76" s="5" t="s">
        <v>3</v>
      </c>
      <c r="O76" s="5">
        <v>2</v>
      </c>
      <c r="P76" s="5">
        <f>ROUND(Source!DP51,O76)</f>
        <v>4918.8599999999997</v>
      </c>
      <c r="Q76" s="5"/>
      <c r="R76" s="5"/>
      <c r="S76" s="5"/>
      <c r="T76" s="5"/>
      <c r="U76" s="5"/>
      <c r="V76" s="5"/>
      <c r="W76" s="5"/>
    </row>
    <row r="77" spans="1:206" x14ac:dyDescent="0.2">
      <c r="A77" s="5">
        <v>50</v>
      </c>
      <c r="B77" s="5">
        <v>0</v>
      </c>
      <c r="C77" s="5">
        <v>0</v>
      </c>
      <c r="D77" s="5">
        <v>1</v>
      </c>
      <c r="E77" s="5">
        <v>211</v>
      </c>
      <c r="F77" s="5">
        <f>ROUND(Source!Y51,O77)</f>
        <v>206.31</v>
      </c>
      <c r="G77" s="5" t="s">
        <v>121</v>
      </c>
      <c r="H77" s="5" t="s">
        <v>122</v>
      </c>
      <c r="I77" s="5"/>
      <c r="J77" s="5"/>
      <c r="K77" s="5">
        <v>211</v>
      </c>
      <c r="L77" s="5">
        <v>25</v>
      </c>
      <c r="M77" s="5">
        <v>3</v>
      </c>
      <c r="N77" s="5" t="s">
        <v>3</v>
      </c>
      <c r="O77" s="5">
        <v>2</v>
      </c>
      <c r="P77" s="5">
        <f>ROUND(Source!DQ51,O77)</f>
        <v>3020.32</v>
      </c>
      <c r="Q77" s="5"/>
      <c r="R77" s="5"/>
      <c r="S77" s="5"/>
      <c r="T77" s="5"/>
      <c r="U77" s="5"/>
      <c r="V77" s="5"/>
      <c r="W77" s="5"/>
    </row>
    <row r="78" spans="1:206" x14ac:dyDescent="0.2">
      <c r="A78" s="5">
        <v>50</v>
      </c>
      <c r="B78" s="5">
        <v>0</v>
      </c>
      <c r="C78" s="5">
        <v>0</v>
      </c>
      <c r="D78" s="5">
        <v>1</v>
      </c>
      <c r="E78" s="5">
        <v>224</v>
      </c>
      <c r="F78" s="5">
        <f>ROUND(Source!AR51,O78)</f>
        <v>27875.66</v>
      </c>
      <c r="G78" s="5" t="s">
        <v>123</v>
      </c>
      <c r="H78" s="5" t="s">
        <v>124</v>
      </c>
      <c r="I78" s="5"/>
      <c r="J78" s="5"/>
      <c r="K78" s="5">
        <v>224</v>
      </c>
      <c r="L78" s="5">
        <v>26</v>
      </c>
      <c r="M78" s="5">
        <v>3</v>
      </c>
      <c r="N78" s="5" t="s">
        <v>3</v>
      </c>
      <c r="O78" s="5">
        <v>2</v>
      </c>
      <c r="P78" s="5">
        <f>ROUND(Source!EJ51,O78)</f>
        <v>217835.4</v>
      </c>
      <c r="Q78" s="5"/>
      <c r="R78" s="5"/>
      <c r="S78" s="5"/>
      <c r="T78" s="5"/>
      <c r="U78" s="5"/>
      <c r="V78" s="5"/>
      <c r="W78" s="5"/>
    </row>
    <row r="80" spans="1:206" x14ac:dyDescent="0.2">
      <c r="A80" s="3">
        <v>51</v>
      </c>
      <c r="B80" s="3">
        <f>B12</f>
        <v>143</v>
      </c>
      <c r="C80" s="3">
        <f>A12</f>
        <v>1</v>
      </c>
      <c r="D80" s="3">
        <f>ROW(A12)</f>
        <v>12</v>
      </c>
      <c r="E80" s="3"/>
      <c r="F80" s="3" t="str">
        <f>IF(F12&lt;&gt;"",F12,"")</f>
        <v/>
      </c>
      <c r="G80" s="3" t="str">
        <f>IF(G12&lt;&gt;"",G12,"")</f>
        <v>'Новые цены'Техническое перевооружение ТП,РП. Замена МВ на ВВ</v>
      </c>
      <c r="H80" s="3">
        <v>0</v>
      </c>
      <c r="I80" s="3"/>
      <c r="J80" s="3"/>
      <c r="K80" s="3"/>
      <c r="L80" s="3"/>
      <c r="M80" s="3"/>
      <c r="N80" s="3"/>
      <c r="O80" s="3">
        <f t="shared" ref="O80:T80" si="57">ROUND(O51,2)</f>
        <v>27352.98</v>
      </c>
      <c r="P80" s="3">
        <f t="shared" si="57"/>
        <v>26858.2</v>
      </c>
      <c r="Q80" s="3">
        <f t="shared" si="57"/>
        <v>102.55</v>
      </c>
      <c r="R80" s="3">
        <f t="shared" si="57"/>
        <v>12.49</v>
      </c>
      <c r="S80" s="3">
        <f t="shared" si="57"/>
        <v>392.23</v>
      </c>
      <c r="T80" s="3">
        <f t="shared" si="57"/>
        <v>0</v>
      </c>
      <c r="U80" s="3">
        <f>U51</f>
        <v>35.17</v>
      </c>
      <c r="V80" s="3">
        <f>V51</f>
        <v>1.42</v>
      </c>
      <c r="W80" s="3">
        <f>ROUND(W51,2)</f>
        <v>0</v>
      </c>
      <c r="X80" s="3">
        <f>ROUND(X51,2)</f>
        <v>316.37</v>
      </c>
      <c r="Y80" s="3">
        <f>ROUND(Y51,2)</f>
        <v>206.31</v>
      </c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>
        <f t="shared" ref="AO80:BC80" si="58">ROUND(AO51,2)</f>
        <v>0</v>
      </c>
      <c r="AP80" s="3">
        <f t="shared" si="58"/>
        <v>0</v>
      </c>
      <c r="AQ80" s="3">
        <f t="shared" si="58"/>
        <v>0</v>
      </c>
      <c r="AR80" s="3">
        <f t="shared" si="58"/>
        <v>27875.66</v>
      </c>
      <c r="AS80" s="3">
        <f t="shared" si="58"/>
        <v>26858.19</v>
      </c>
      <c r="AT80" s="3">
        <f t="shared" si="58"/>
        <v>552.02</v>
      </c>
      <c r="AU80" s="3">
        <f t="shared" si="58"/>
        <v>465.45</v>
      </c>
      <c r="AV80" s="3">
        <f t="shared" si="58"/>
        <v>26858.2</v>
      </c>
      <c r="AW80" s="3">
        <f t="shared" si="58"/>
        <v>26858.2</v>
      </c>
      <c r="AX80" s="3">
        <f t="shared" si="58"/>
        <v>0</v>
      </c>
      <c r="AY80" s="3">
        <f t="shared" si="58"/>
        <v>26858.2</v>
      </c>
      <c r="AZ80" s="3">
        <f t="shared" si="58"/>
        <v>0</v>
      </c>
      <c r="BA80" s="3">
        <f t="shared" si="58"/>
        <v>0</v>
      </c>
      <c r="BB80" s="3">
        <f t="shared" si="58"/>
        <v>0</v>
      </c>
      <c r="BC80" s="3">
        <f t="shared" si="58"/>
        <v>0</v>
      </c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4">
        <f t="shared" ref="DG80:DL80" si="59">ROUND(DG51,2)</f>
        <v>209896.22</v>
      </c>
      <c r="DH80" s="4">
        <f t="shared" si="59"/>
        <v>201436.52</v>
      </c>
      <c r="DI80" s="4">
        <f t="shared" si="59"/>
        <v>1281.8800000000001</v>
      </c>
      <c r="DJ80" s="4">
        <f t="shared" si="59"/>
        <v>228.56</v>
      </c>
      <c r="DK80" s="4">
        <f t="shared" si="59"/>
        <v>7177.82</v>
      </c>
      <c r="DL80" s="4">
        <f t="shared" si="59"/>
        <v>0</v>
      </c>
      <c r="DM80" s="4">
        <f>DM51</f>
        <v>35.17</v>
      </c>
      <c r="DN80" s="4">
        <f>DN51</f>
        <v>1.42</v>
      </c>
      <c r="DO80" s="4">
        <f>ROUND(DO51,2)</f>
        <v>0</v>
      </c>
      <c r="DP80" s="4">
        <f>ROUND(DP51,2)</f>
        <v>4918.8599999999997</v>
      </c>
      <c r="DQ80" s="4">
        <f>ROUND(DQ51,2)</f>
        <v>3020.32</v>
      </c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>
        <f t="shared" ref="EG80:EU80" si="60">ROUND(EG51,2)</f>
        <v>0</v>
      </c>
      <c r="EH80" s="4">
        <f t="shared" si="60"/>
        <v>0</v>
      </c>
      <c r="EI80" s="4">
        <f t="shared" si="60"/>
        <v>0</v>
      </c>
      <c r="EJ80" s="4">
        <f t="shared" si="60"/>
        <v>217835.4</v>
      </c>
      <c r="EK80" s="4">
        <f t="shared" si="60"/>
        <v>201436.44</v>
      </c>
      <c r="EL80" s="4">
        <f t="shared" si="60"/>
        <v>8629.07</v>
      </c>
      <c r="EM80" s="4">
        <f t="shared" si="60"/>
        <v>7769.89</v>
      </c>
      <c r="EN80" s="4">
        <f t="shared" si="60"/>
        <v>201436.52</v>
      </c>
      <c r="EO80" s="4">
        <f t="shared" si="60"/>
        <v>201436.52</v>
      </c>
      <c r="EP80" s="4">
        <f t="shared" si="60"/>
        <v>0</v>
      </c>
      <c r="EQ80" s="4">
        <f t="shared" si="60"/>
        <v>201436.52</v>
      </c>
      <c r="ER80" s="4">
        <f t="shared" si="60"/>
        <v>0</v>
      </c>
      <c r="ES80" s="4">
        <f t="shared" si="60"/>
        <v>0</v>
      </c>
      <c r="ET80" s="4">
        <f t="shared" si="60"/>
        <v>0</v>
      </c>
      <c r="EU80" s="4">
        <f t="shared" si="60"/>
        <v>0</v>
      </c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>
        <v>0</v>
      </c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201</v>
      </c>
      <c r="F82" s="5">
        <f>ROUND(Source!O80,O82)</f>
        <v>27352.98</v>
      </c>
      <c r="G82" s="5" t="s">
        <v>73</v>
      </c>
      <c r="H82" s="5" t="s">
        <v>74</v>
      </c>
      <c r="I82" s="5"/>
      <c r="J82" s="5"/>
      <c r="K82" s="5">
        <v>201</v>
      </c>
      <c r="L82" s="5">
        <v>1</v>
      </c>
      <c r="M82" s="5">
        <v>3</v>
      </c>
      <c r="N82" s="5" t="s">
        <v>3</v>
      </c>
      <c r="O82" s="5">
        <v>2</v>
      </c>
      <c r="P82" s="5">
        <f>ROUND(Source!DG80,O82)</f>
        <v>209896.22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202</v>
      </c>
      <c r="F83" s="5">
        <f>ROUND(Source!P80,O83)</f>
        <v>26858.2</v>
      </c>
      <c r="G83" s="5" t="s">
        <v>75</v>
      </c>
      <c r="H83" s="5" t="s">
        <v>76</v>
      </c>
      <c r="I83" s="5"/>
      <c r="J83" s="5"/>
      <c r="K83" s="5">
        <v>202</v>
      </c>
      <c r="L83" s="5">
        <v>2</v>
      </c>
      <c r="M83" s="5">
        <v>3</v>
      </c>
      <c r="N83" s="5" t="s">
        <v>3</v>
      </c>
      <c r="O83" s="5">
        <v>2</v>
      </c>
      <c r="P83" s="5">
        <f>ROUND(Source!DH80,O83)</f>
        <v>201436.52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222</v>
      </c>
      <c r="F84" s="5">
        <f>ROUND(Source!AO80,O84)</f>
        <v>0</v>
      </c>
      <c r="G84" s="5" t="s">
        <v>77</v>
      </c>
      <c r="H84" s="5" t="s">
        <v>78</v>
      </c>
      <c r="I84" s="5"/>
      <c r="J84" s="5"/>
      <c r="K84" s="5">
        <v>222</v>
      </c>
      <c r="L84" s="5">
        <v>3</v>
      </c>
      <c r="M84" s="5">
        <v>3</v>
      </c>
      <c r="N84" s="5" t="s">
        <v>3</v>
      </c>
      <c r="O84" s="5">
        <v>2</v>
      </c>
      <c r="P84" s="5">
        <f>ROUND(Source!EG80,O84)</f>
        <v>0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225</v>
      </c>
      <c r="F85" s="5">
        <f>ROUND(Source!AV80,O85)</f>
        <v>26858.2</v>
      </c>
      <c r="G85" s="5" t="s">
        <v>79</v>
      </c>
      <c r="H85" s="5" t="s">
        <v>80</v>
      </c>
      <c r="I85" s="5"/>
      <c r="J85" s="5"/>
      <c r="K85" s="5">
        <v>225</v>
      </c>
      <c r="L85" s="5">
        <v>4</v>
      </c>
      <c r="M85" s="5">
        <v>3</v>
      </c>
      <c r="N85" s="5" t="s">
        <v>3</v>
      </c>
      <c r="O85" s="5">
        <v>2</v>
      </c>
      <c r="P85" s="5">
        <f>ROUND(Source!EN80,O85)</f>
        <v>201436.52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226</v>
      </c>
      <c r="F86" s="5">
        <f>ROUND(Source!AW80,O86)</f>
        <v>26858.2</v>
      </c>
      <c r="G86" s="5" t="s">
        <v>81</v>
      </c>
      <c r="H86" s="5" t="s">
        <v>82</v>
      </c>
      <c r="I86" s="5"/>
      <c r="J86" s="5"/>
      <c r="K86" s="5">
        <v>226</v>
      </c>
      <c r="L86" s="5">
        <v>5</v>
      </c>
      <c r="M86" s="5">
        <v>3</v>
      </c>
      <c r="N86" s="5" t="s">
        <v>3</v>
      </c>
      <c r="O86" s="5">
        <v>2</v>
      </c>
      <c r="P86" s="5">
        <f>ROUND(Source!EO80,O86)</f>
        <v>201436.52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227</v>
      </c>
      <c r="F87" s="5">
        <f>ROUND(Source!AX80,O87)</f>
        <v>0</v>
      </c>
      <c r="G87" s="5" t="s">
        <v>83</v>
      </c>
      <c r="H87" s="5" t="s">
        <v>84</v>
      </c>
      <c r="I87" s="5"/>
      <c r="J87" s="5"/>
      <c r="K87" s="5">
        <v>227</v>
      </c>
      <c r="L87" s="5">
        <v>6</v>
      </c>
      <c r="M87" s="5">
        <v>3</v>
      </c>
      <c r="N87" s="5" t="s">
        <v>3</v>
      </c>
      <c r="O87" s="5">
        <v>2</v>
      </c>
      <c r="P87" s="5">
        <f>ROUND(Source!EP80,O87)</f>
        <v>0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228</v>
      </c>
      <c r="F88" s="5">
        <f>ROUND(Source!AY80,O88)</f>
        <v>26858.2</v>
      </c>
      <c r="G88" s="5" t="s">
        <v>85</v>
      </c>
      <c r="H88" s="5" t="s">
        <v>86</v>
      </c>
      <c r="I88" s="5"/>
      <c r="J88" s="5"/>
      <c r="K88" s="5">
        <v>228</v>
      </c>
      <c r="L88" s="5">
        <v>7</v>
      </c>
      <c r="M88" s="5">
        <v>3</v>
      </c>
      <c r="N88" s="5" t="s">
        <v>3</v>
      </c>
      <c r="O88" s="5">
        <v>2</v>
      </c>
      <c r="P88" s="5">
        <f>ROUND(Source!EQ80,O88)</f>
        <v>201436.52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216</v>
      </c>
      <c r="F89" s="5">
        <f>ROUND(Source!AP80,O89)</f>
        <v>0</v>
      </c>
      <c r="G89" s="5" t="s">
        <v>87</v>
      </c>
      <c r="H89" s="5" t="s">
        <v>88</v>
      </c>
      <c r="I89" s="5"/>
      <c r="J89" s="5"/>
      <c r="K89" s="5">
        <v>216</v>
      </c>
      <c r="L89" s="5">
        <v>8</v>
      </c>
      <c r="M89" s="5">
        <v>3</v>
      </c>
      <c r="N89" s="5" t="s">
        <v>3</v>
      </c>
      <c r="O89" s="5">
        <v>2</v>
      </c>
      <c r="P89" s="5">
        <f>ROUND(Source!EH80,O89)</f>
        <v>0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223</v>
      </c>
      <c r="F90" s="5">
        <f>ROUND(Source!AQ80,O90)</f>
        <v>0</v>
      </c>
      <c r="G90" s="5" t="s">
        <v>89</v>
      </c>
      <c r="H90" s="5" t="s">
        <v>90</v>
      </c>
      <c r="I90" s="5"/>
      <c r="J90" s="5"/>
      <c r="K90" s="5">
        <v>223</v>
      </c>
      <c r="L90" s="5">
        <v>9</v>
      </c>
      <c r="M90" s="5">
        <v>3</v>
      </c>
      <c r="N90" s="5" t="s">
        <v>3</v>
      </c>
      <c r="O90" s="5">
        <v>2</v>
      </c>
      <c r="P90" s="5">
        <f>ROUND(Source!EI80,O90)</f>
        <v>0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229</v>
      </c>
      <c r="F91" s="5">
        <f>ROUND(Source!AZ80,O91)</f>
        <v>0</v>
      </c>
      <c r="G91" s="5" t="s">
        <v>91</v>
      </c>
      <c r="H91" s="5" t="s">
        <v>92</v>
      </c>
      <c r="I91" s="5"/>
      <c r="J91" s="5"/>
      <c r="K91" s="5">
        <v>229</v>
      </c>
      <c r="L91" s="5">
        <v>10</v>
      </c>
      <c r="M91" s="5">
        <v>3</v>
      </c>
      <c r="N91" s="5" t="s">
        <v>3</v>
      </c>
      <c r="O91" s="5">
        <v>2</v>
      </c>
      <c r="P91" s="5">
        <f>ROUND(Source!ER80,O91)</f>
        <v>0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203</v>
      </c>
      <c r="F92" s="5">
        <f>ROUND(Source!Q80,O92)</f>
        <v>102.55</v>
      </c>
      <c r="G92" s="5" t="s">
        <v>93</v>
      </c>
      <c r="H92" s="5" t="s">
        <v>94</v>
      </c>
      <c r="I92" s="5"/>
      <c r="J92" s="5"/>
      <c r="K92" s="5">
        <v>203</v>
      </c>
      <c r="L92" s="5">
        <v>11</v>
      </c>
      <c r="M92" s="5">
        <v>3</v>
      </c>
      <c r="N92" s="5" t="s">
        <v>3</v>
      </c>
      <c r="O92" s="5">
        <v>2</v>
      </c>
      <c r="P92" s="5">
        <f>ROUND(Source!DI80,O92)</f>
        <v>1281.8800000000001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231</v>
      </c>
      <c r="F93" s="5">
        <f>ROUND(Source!BB80,O93)</f>
        <v>0</v>
      </c>
      <c r="G93" s="5" t="s">
        <v>95</v>
      </c>
      <c r="H93" s="5" t="s">
        <v>96</v>
      </c>
      <c r="I93" s="5"/>
      <c r="J93" s="5"/>
      <c r="K93" s="5">
        <v>231</v>
      </c>
      <c r="L93" s="5">
        <v>12</v>
      </c>
      <c r="M93" s="5">
        <v>3</v>
      </c>
      <c r="N93" s="5" t="s">
        <v>3</v>
      </c>
      <c r="O93" s="5">
        <v>2</v>
      </c>
      <c r="P93" s="5">
        <f>ROUND(Source!ET80,O93)</f>
        <v>0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204</v>
      </c>
      <c r="F94" s="5">
        <f>ROUND(Source!R80,O94)</f>
        <v>12.49</v>
      </c>
      <c r="G94" s="5" t="s">
        <v>97</v>
      </c>
      <c r="H94" s="5" t="s">
        <v>98</v>
      </c>
      <c r="I94" s="5"/>
      <c r="J94" s="5"/>
      <c r="K94" s="5">
        <v>204</v>
      </c>
      <c r="L94" s="5">
        <v>13</v>
      </c>
      <c r="M94" s="5">
        <v>3</v>
      </c>
      <c r="N94" s="5" t="s">
        <v>3</v>
      </c>
      <c r="O94" s="5">
        <v>2</v>
      </c>
      <c r="P94" s="5">
        <f>ROUND(Source!DJ80,O94)</f>
        <v>228.56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205</v>
      </c>
      <c r="F95" s="5">
        <f>ROUND(Source!S80,O95)</f>
        <v>392.23</v>
      </c>
      <c r="G95" s="5" t="s">
        <v>99</v>
      </c>
      <c r="H95" s="5" t="s">
        <v>100</v>
      </c>
      <c r="I95" s="5"/>
      <c r="J95" s="5"/>
      <c r="K95" s="5">
        <v>205</v>
      </c>
      <c r="L95" s="5">
        <v>14</v>
      </c>
      <c r="M95" s="5">
        <v>3</v>
      </c>
      <c r="N95" s="5" t="s">
        <v>3</v>
      </c>
      <c r="O95" s="5">
        <v>2</v>
      </c>
      <c r="P95" s="5">
        <f>ROUND(Source!DK80,O95)</f>
        <v>7177.82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232</v>
      </c>
      <c r="F96" s="5">
        <f>ROUND(Source!BC80,O96)</f>
        <v>0</v>
      </c>
      <c r="G96" s="5" t="s">
        <v>101</v>
      </c>
      <c r="H96" s="5" t="s">
        <v>102</v>
      </c>
      <c r="I96" s="5"/>
      <c r="J96" s="5"/>
      <c r="K96" s="5">
        <v>232</v>
      </c>
      <c r="L96" s="5">
        <v>15</v>
      </c>
      <c r="M96" s="5">
        <v>3</v>
      </c>
      <c r="N96" s="5" t="s">
        <v>3</v>
      </c>
      <c r="O96" s="5">
        <v>2</v>
      </c>
      <c r="P96" s="5">
        <f>ROUND(Source!EU80,O96)</f>
        <v>0</v>
      </c>
      <c r="Q96" s="5"/>
      <c r="R96" s="5"/>
      <c r="S96" s="5"/>
      <c r="T96" s="5"/>
      <c r="U96" s="5"/>
      <c r="V96" s="5"/>
      <c r="W96" s="5"/>
    </row>
    <row r="97" spans="1:23" x14ac:dyDescent="0.2">
      <c r="A97" s="5">
        <v>50</v>
      </c>
      <c r="B97" s="5">
        <v>0</v>
      </c>
      <c r="C97" s="5">
        <v>0</v>
      </c>
      <c r="D97" s="5">
        <v>1</v>
      </c>
      <c r="E97" s="5">
        <v>214</v>
      </c>
      <c r="F97" s="5">
        <f>ROUND(Source!AS80,O97)</f>
        <v>26858.19</v>
      </c>
      <c r="G97" s="5" t="s">
        <v>103</v>
      </c>
      <c r="H97" s="5" t="s">
        <v>104</v>
      </c>
      <c r="I97" s="5"/>
      <c r="J97" s="5"/>
      <c r="K97" s="5">
        <v>214</v>
      </c>
      <c r="L97" s="5">
        <v>16</v>
      </c>
      <c r="M97" s="5">
        <v>3</v>
      </c>
      <c r="N97" s="5" t="s">
        <v>3</v>
      </c>
      <c r="O97" s="5">
        <v>2</v>
      </c>
      <c r="P97" s="5">
        <f>ROUND(Source!EK80,O97)</f>
        <v>201436.44</v>
      </c>
      <c r="Q97" s="5"/>
      <c r="R97" s="5"/>
      <c r="S97" s="5"/>
      <c r="T97" s="5"/>
      <c r="U97" s="5"/>
      <c r="V97" s="5"/>
      <c r="W97" s="5"/>
    </row>
    <row r="98" spans="1:23" x14ac:dyDescent="0.2">
      <c r="A98" s="5">
        <v>50</v>
      </c>
      <c r="B98" s="5">
        <v>0</v>
      </c>
      <c r="C98" s="5">
        <v>0</v>
      </c>
      <c r="D98" s="5">
        <v>1</v>
      </c>
      <c r="E98" s="5">
        <v>215</v>
      </c>
      <c r="F98" s="5">
        <f>ROUND(Source!AT80,O98)</f>
        <v>552.02</v>
      </c>
      <c r="G98" s="5" t="s">
        <v>105</v>
      </c>
      <c r="H98" s="5" t="s">
        <v>106</v>
      </c>
      <c r="I98" s="5"/>
      <c r="J98" s="5"/>
      <c r="K98" s="5">
        <v>215</v>
      </c>
      <c r="L98" s="5">
        <v>17</v>
      </c>
      <c r="M98" s="5">
        <v>3</v>
      </c>
      <c r="N98" s="5" t="s">
        <v>3</v>
      </c>
      <c r="O98" s="5">
        <v>2</v>
      </c>
      <c r="P98" s="5">
        <f>ROUND(Source!EL80,O98)</f>
        <v>8629.07</v>
      </c>
      <c r="Q98" s="5"/>
      <c r="R98" s="5"/>
      <c r="S98" s="5"/>
      <c r="T98" s="5"/>
      <c r="U98" s="5"/>
      <c r="V98" s="5"/>
      <c r="W98" s="5"/>
    </row>
    <row r="99" spans="1:23" x14ac:dyDescent="0.2">
      <c r="A99" s="5">
        <v>50</v>
      </c>
      <c r="B99" s="5">
        <v>0</v>
      </c>
      <c r="C99" s="5">
        <v>0</v>
      </c>
      <c r="D99" s="5">
        <v>1</v>
      </c>
      <c r="E99" s="5">
        <v>217</v>
      </c>
      <c r="F99" s="5">
        <f>ROUND(Source!AU80,O99)</f>
        <v>465.45</v>
      </c>
      <c r="G99" s="5" t="s">
        <v>107</v>
      </c>
      <c r="H99" s="5" t="s">
        <v>108</v>
      </c>
      <c r="I99" s="5"/>
      <c r="J99" s="5"/>
      <c r="K99" s="5">
        <v>217</v>
      </c>
      <c r="L99" s="5">
        <v>18</v>
      </c>
      <c r="M99" s="5">
        <v>3</v>
      </c>
      <c r="N99" s="5" t="s">
        <v>3</v>
      </c>
      <c r="O99" s="5">
        <v>2</v>
      </c>
      <c r="P99" s="5">
        <f>ROUND(Source!EM80,O99)</f>
        <v>7769.89</v>
      </c>
      <c r="Q99" s="5"/>
      <c r="R99" s="5"/>
      <c r="S99" s="5"/>
      <c r="T99" s="5"/>
      <c r="U99" s="5"/>
      <c r="V99" s="5"/>
      <c r="W99" s="5"/>
    </row>
    <row r="100" spans="1:23" x14ac:dyDescent="0.2">
      <c r="A100" s="5">
        <v>50</v>
      </c>
      <c r="B100" s="5">
        <v>0</v>
      </c>
      <c r="C100" s="5">
        <v>0</v>
      </c>
      <c r="D100" s="5">
        <v>1</v>
      </c>
      <c r="E100" s="5">
        <v>230</v>
      </c>
      <c r="F100" s="5">
        <f>ROUND(Source!BA80,O100)</f>
        <v>0</v>
      </c>
      <c r="G100" s="5" t="s">
        <v>109</v>
      </c>
      <c r="H100" s="5" t="s">
        <v>110</v>
      </c>
      <c r="I100" s="5"/>
      <c r="J100" s="5"/>
      <c r="K100" s="5">
        <v>230</v>
      </c>
      <c r="L100" s="5">
        <v>19</v>
      </c>
      <c r="M100" s="5">
        <v>3</v>
      </c>
      <c r="N100" s="5" t="s">
        <v>3</v>
      </c>
      <c r="O100" s="5">
        <v>2</v>
      </c>
      <c r="P100" s="5">
        <f>ROUND(Source!ES80,O100)</f>
        <v>0</v>
      </c>
      <c r="Q100" s="5"/>
      <c r="R100" s="5"/>
      <c r="S100" s="5"/>
      <c r="T100" s="5"/>
      <c r="U100" s="5"/>
      <c r="V100" s="5"/>
      <c r="W100" s="5"/>
    </row>
    <row r="101" spans="1:23" x14ac:dyDescent="0.2">
      <c r="A101" s="5">
        <v>50</v>
      </c>
      <c r="B101" s="5">
        <v>0</v>
      </c>
      <c r="C101" s="5">
        <v>0</v>
      </c>
      <c r="D101" s="5">
        <v>1</v>
      </c>
      <c r="E101" s="5">
        <v>206</v>
      </c>
      <c r="F101" s="5">
        <f>ROUND(Source!T80,O101)</f>
        <v>0</v>
      </c>
      <c r="G101" s="5" t="s">
        <v>111</v>
      </c>
      <c r="H101" s="5" t="s">
        <v>112</v>
      </c>
      <c r="I101" s="5"/>
      <c r="J101" s="5"/>
      <c r="K101" s="5">
        <v>206</v>
      </c>
      <c r="L101" s="5">
        <v>20</v>
      </c>
      <c r="M101" s="5">
        <v>3</v>
      </c>
      <c r="N101" s="5" t="s">
        <v>3</v>
      </c>
      <c r="O101" s="5">
        <v>2</v>
      </c>
      <c r="P101" s="5">
        <f>ROUND(Source!DL80,O101)</f>
        <v>0</v>
      </c>
      <c r="Q101" s="5"/>
      <c r="R101" s="5"/>
      <c r="S101" s="5"/>
      <c r="T101" s="5"/>
      <c r="U101" s="5"/>
      <c r="V101" s="5"/>
      <c r="W101" s="5"/>
    </row>
    <row r="102" spans="1:23" x14ac:dyDescent="0.2">
      <c r="A102" s="5">
        <v>50</v>
      </c>
      <c r="B102" s="5">
        <v>0</v>
      </c>
      <c r="C102" s="5">
        <v>0</v>
      </c>
      <c r="D102" s="5">
        <v>1</v>
      </c>
      <c r="E102" s="5">
        <v>207</v>
      </c>
      <c r="F102" s="5">
        <f>Source!U80</f>
        <v>35.17</v>
      </c>
      <c r="G102" s="5" t="s">
        <v>113</v>
      </c>
      <c r="H102" s="5" t="s">
        <v>114</v>
      </c>
      <c r="I102" s="5"/>
      <c r="J102" s="5"/>
      <c r="K102" s="5">
        <v>207</v>
      </c>
      <c r="L102" s="5">
        <v>21</v>
      </c>
      <c r="M102" s="5">
        <v>3</v>
      </c>
      <c r="N102" s="5" t="s">
        <v>3</v>
      </c>
      <c r="O102" s="5">
        <v>-1</v>
      </c>
      <c r="P102" s="5">
        <f>Source!DM80</f>
        <v>35.17</v>
      </c>
      <c r="Q102" s="5"/>
      <c r="R102" s="5"/>
      <c r="S102" s="5"/>
      <c r="T102" s="5"/>
      <c r="U102" s="5"/>
      <c r="V102" s="5"/>
      <c r="W102" s="5"/>
    </row>
    <row r="103" spans="1:23" x14ac:dyDescent="0.2">
      <c r="A103" s="5">
        <v>50</v>
      </c>
      <c r="B103" s="5">
        <v>0</v>
      </c>
      <c r="C103" s="5">
        <v>0</v>
      </c>
      <c r="D103" s="5">
        <v>1</v>
      </c>
      <c r="E103" s="5">
        <v>208</v>
      </c>
      <c r="F103" s="5">
        <f>Source!V80</f>
        <v>1.42</v>
      </c>
      <c r="G103" s="5" t="s">
        <v>115</v>
      </c>
      <c r="H103" s="5" t="s">
        <v>116</v>
      </c>
      <c r="I103" s="5"/>
      <c r="J103" s="5"/>
      <c r="K103" s="5">
        <v>208</v>
      </c>
      <c r="L103" s="5">
        <v>22</v>
      </c>
      <c r="M103" s="5">
        <v>3</v>
      </c>
      <c r="N103" s="5" t="s">
        <v>3</v>
      </c>
      <c r="O103" s="5">
        <v>-1</v>
      </c>
      <c r="P103" s="5">
        <f>Source!DN80</f>
        <v>1.42</v>
      </c>
      <c r="Q103" s="5"/>
      <c r="R103" s="5"/>
      <c r="S103" s="5"/>
      <c r="T103" s="5"/>
      <c r="U103" s="5"/>
      <c r="V103" s="5"/>
      <c r="W103" s="5"/>
    </row>
    <row r="104" spans="1:23" x14ac:dyDescent="0.2">
      <c r="A104" s="5">
        <v>50</v>
      </c>
      <c r="B104" s="5">
        <v>0</v>
      </c>
      <c r="C104" s="5">
        <v>0</v>
      </c>
      <c r="D104" s="5">
        <v>1</v>
      </c>
      <c r="E104" s="5">
        <v>209</v>
      </c>
      <c r="F104" s="5">
        <f>ROUND(Source!W80,O104)</f>
        <v>0</v>
      </c>
      <c r="G104" s="5" t="s">
        <v>117</v>
      </c>
      <c r="H104" s="5" t="s">
        <v>118</v>
      </c>
      <c r="I104" s="5"/>
      <c r="J104" s="5"/>
      <c r="K104" s="5">
        <v>209</v>
      </c>
      <c r="L104" s="5">
        <v>23</v>
      </c>
      <c r="M104" s="5">
        <v>3</v>
      </c>
      <c r="N104" s="5" t="s">
        <v>3</v>
      </c>
      <c r="O104" s="5">
        <v>2</v>
      </c>
      <c r="P104" s="5">
        <f>ROUND(Source!DO80,O104)</f>
        <v>0</v>
      </c>
      <c r="Q104" s="5"/>
      <c r="R104" s="5"/>
      <c r="S104" s="5"/>
      <c r="T104" s="5"/>
      <c r="U104" s="5"/>
      <c r="V104" s="5"/>
      <c r="W104" s="5"/>
    </row>
    <row r="105" spans="1:23" x14ac:dyDescent="0.2">
      <c r="A105" s="5">
        <v>50</v>
      </c>
      <c r="B105" s="5">
        <v>0</v>
      </c>
      <c r="C105" s="5">
        <v>0</v>
      </c>
      <c r="D105" s="5">
        <v>1</v>
      </c>
      <c r="E105" s="5">
        <v>210</v>
      </c>
      <c r="F105" s="5">
        <f>ROUND(Source!X80,O105)</f>
        <v>316.37</v>
      </c>
      <c r="G105" s="5" t="s">
        <v>119</v>
      </c>
      <c r="H105" s="5" t="s">
        <v>120</v>
      </c>
      <c r="I105" s="5"/>
      <c r="J105" s="5"/>
      <c r="K105" s="5">
        <v>210</v>
      </c>
      <c r="L105" s="5">
        <v>24</v>
      </c>
      <c r="M105" s="5">
        <v>3</v>
      </c>
      <c r="N105" s="5" t="s">
        <v>3</v>
      </c>
      <c r="O105" s="5">
        <v>2</v>
      </c>
      <c r="P105" s="5">
        <f>ROUND(Source!DP80,O105)</f>
        <v>4918.8599999999997</v>
      </c>
      <c r="Q105" s="5"/>
      <c r="R105" s="5"/>
      <c r="S105" s="5"/>
      <c r="T105" s="5"/>
      <c r="U105" s="5"/>
      <c r="V105" s="5"/>
      <c r="W105" s="5"/>
    </row>
    <row r="106" spans="1:23" x14ac:dyDescent="0.2">
      <c r="A106" s="5">
        <v>50</v>
      </c>
      <c r="B106" s="5">
        <v>0</v>
      </c>
      <c r="C106" s="5">
        <v>0</v>
      </c>
      <c r="D106" s="5">
        <v>1</v>
      </c>
      <c r="E106" s="5">
        <v>211</v>
      </c>
      <c r="F106" s="5">
        <f>ROUND(Source!Y80,O106)</f>
        <v>206.31</v>
      </c>
      <c r="G106" s="5" t="s">
        <v>121</v>
      </c>
      <c r="H106" s="5" t="s">
        <v>122</v>
      </c>
      <c r="I106" s="5"/>
      <c r="J106" s="5"/>
      <c r="K106" s="5">
        <v>211</v>
      </c>
      <c r="L106" s="5">
        <v>25</v>
      </c>
      <c r="M106" s="5">
        <v>3</v>
      </c>
      <c r="N106" s="5" t="s">
        <v>3</v>
      </c>
      <c r="O106" s="5">
        <v>2</v>
      </c>
      <c r="P106" s="5">
        <f>ROUND(Source!DQ80,O106)</f>
        <v>3020.32</v>
      </c>
      <c r="Q106" s="5"/>
      <c r="R106" s="5"/>
      <c r="S106" s="5"/>
      <c r="T106" s="5"/>
      <c r="U106" s="5"/>
      <c r="V106" s="5"/>
      <c r="W106" s="5"/>
    </row>
    <row r="107" spans="1:23" x14ac:dyDescent="0.2">
      <c r="A107" s="5">
        <v>50</v>
      </c>
      <c r="B107" s="5">
        <v>0</v>
      </c>
      <c r="C107" s="5">
        <v>0</v>
      </c>
      <c r="D107" s="5">
        <v>1</v>
      </c>
      <c r="E107" s="5">
        <v>224</v>
      </c>
      <c r="F107" s="5">
        <f>ROUND(Source!AR80,O107)</f>
        <v>27875.66</v>
      </c>
      <c r="G107" s="5" t="s">
        <v>123</v>
      </c>
      <c r="H107" s="5" t="s">
        <v>124</v>
      </c>
      <c r="I107" s="5"/>
      <c r="J107" s="5"/>
      <c r="K107" s="5">
        <v>224</v>
      </c>
      <c r="L107" s="5">
        <v>26</v>
      </c>
      <c r="M107" s="5">
        <v>3</v>
      </c>
      <c r="N107" s="5" t="s">
        <v>3</v>
      </c>
      <c r="O107" s="5">
        <v>2</v>
      </c>
      <c r="P107" s="5">
        <f>ROUND(Source!EJ80,O107)</f>
        <v>217835.4</v>
      </c>
      <c r="Q107" s="5"/>
      <c r="R107" s="5"/>
      <c r="S107" s="5"/>
      <c r="T107" s="5"/>
      <c r="U107" s="5"/>
      <c r="V107" s="5"/>
      <c r="W107" s="5"/>
    </row>
    <row r="110" spans="1:23" x14ac:dyDescent="0.2">
      <c r="A110">
        <v>70</v>
      </c>
      <c r="B110">
        <v>1</v>
      </c>
      <c r="D110">
        <v>1</v>
      </c>
      <c r="E110" t="s">
        <v>125</v>
      </c>
      <c r="F110" t="s">
        <v>126</v>
      </c>
      <c r="G110">
        <v>1</v>
      </c>
      <c r="H110">
        <v>0</v>
      </c>
      <c r="I110" t="s">
        <v>127</v>
      </c>
      <c r="J110">
        <v>0</v>
      </c>
      <c r="K110">
        <v>0</v>
      </c>
      <c r="L110" t="s">
        <v>3</v>
      </c>
      <c r="M110" t="s">
        <v>3</v>
      </c>
      <c r="N110">
        <v>0</v>
      </c>
      <c r="O110">
        <v>1</v>
      </c>
    </row>
    <row r="111" spans="1:23" x14ac:dyDescent="0.2">
      <c r="A111">
        <v>70</v>
      </c>
      <c r="B111">
        <v>1</v>
      </c>
      <c r="D111">
        <v>2</v>
      </c>
      <c r="E111" t="s">
        <v>128</v>
      </c>
      <c r="F111" t="s">
        <v>129</v>
      </c>
      <c r="G111">
        <v>0</v>
      </c>
      <c r="H111">
        <v>0</v>
      </c>
      <c r="I111" t="s">
        <v>127</v>
      </c>
      <c r="J111">
        <v>0</v>
      </c>
      <c r="K111">
        <v>0</v>
      </c>
      <c r="L111" t="s">
        <v>3</v>
      </c>
      <c r="M111" t="s">
        <v>3</v>
      </c>
      <c r="N111">
        <v>0</v>
      </c>
      <c r="O111">
        <v>0</v>
      </c>
    </row>
    <row r="112" spans="1:23" x14ac:dyDescent="0.2">
      <c r="A112">
        <v>70</v>
      </c>
      <c r="B112">
        <v>1</v>
      </c>
      <c r="D112">
        <v>3</v>
      </c>
      <c r="E112" t="s">
        <v>130</v>
      </c>
      <c r="F112" t="s">
        <v>131</v>
      </c>
      <c r="G112">
        <v>0</v>
      </c>
      <c r="H112">
        <v>0</v>
      </c>
      <c r="I112" t="s">
        <v>127</v>
      </c>
      <c r="J112">
        <v>0</v>
      </c>
      <c r="K112">
        <v>0</v>
      </c>
      <c r="L112" t="s">
        <v>3</v>
      </c>
      <c r="M112" t="s">
        <v>3</v>
      </c>
      <c r="N112">
        <v>0</v>
      </c>
      <c r="O112">
        <v>0</v>
      </c>
    </row>
    <row r="113" spans="1:15" x14ac:dyDescent="0.2">
      <c r="A113">
        <v>70</v>
      </c>
      <c r="B113">
        <v>1</v>
      </c>
      <c r="D113">
        <v>4</v>
      </c>
      <c r="E113" t="s">
        <v>132</v>
      </c>
      <c r="F113" t="s">
        <v>133</v>
      </c>
      <c r="G113">
        <v>0</v>
      </c>
      <c r="H113">
        <v>0</v>
      </c>
      <c r="I113" t="s">
        <v>127</v>
      </c>
      <c r="J113">
        <v>0</v>
      </c>
      <c r="K113">
        <v>0</v>
      </c>
      <c r="L113" t="s">
        <v>3</v>
      </c>
      <c r="M113" t="s">
        <v>3</v>
      </c>
      <c r="N113">
        <v>0</v>
      </c>
      <c r="O113">
        <v>0</v>
      </c>
    </row>
    <row r="114" spans="1:15" x14ac:dyDescent="0.2">
      <c r="A114">
        <v>70</v>
      </c>
      <c r="B114">
        <v>1</v>
      </c>
      <c r="D114">
        <v>5</v>
      </c>
      <c r="E114" t="s">
        <v>134</v>
      </c>
      <c r="F114" t="s">
        <v>135</v>
      </c>
      <c r="G114">
        <v>0</v>
      </c>
      <c r="H114">
        <v>0</v>
      </c>
      <c r="I114" t="s">
        <v>127</v>
      </c>
      <c r="J114">
        <v>0</v>
      </c>
      <c r="K114">
        <v>0</v>
      </c>
      <c r="L114" t="s">
        <v>3</v>
      </c>
      <c r="M114" t="s">
        <v>3</v>
      </c>
      <c r="N114">
        <v>0</v>
      </c>
      <c r="O114">
        <v>0</v>
      </c>
    </row>
    <row r="115" spans="1:15" x14ac:dyDescent="0.2">
      <c r="A115">
        <v>70</v>
      </c>
      <c r="B115">
        <v>1</v>
      </c>
      <c r="D115">
        <v>6</v>
      </c>
      <c r="E115" t="s">
        <v>136</v>
      </c>
      <c r="F115" t="s">
        <v>137</v>
      </c>
      <c r="G115">
        <v>0</v>
      </c>
      <c r="H115">
        <v>0</v>
      </c>
      <c r="I115" t="s">
        <v>127</v>
      </c>
      <c r="J115">
        <v>0</v>
      </c>
      <c r="K115">
        <v>0</v>
      </c>
      <c r="L115" t="s">
        <v>3</v>
      </c>
      <c r="M115" t="s">
        <v>3</v>
      </c>
      <c r="N115">
        <v>0</v>
      </c>
      <c r="O115">
        <v>0</v>
      </c>
    </row>
    <row r="116" spans="1:15" x14ac:dyDescent="0.2">
      <c r="A116">
        <v>70</v>
      </c>
      <c r="B116">
        <v>1</v>
      </c>
      <c r="D116">
        <v>7</v>
      </c>
      <c r="E116" t="s">
        <v>138</v>
      </c>
      <c r="F116" t="s">
        <v>139</v>
      </c>
      <c r="G116">
        <v>0</v>
      </c>
      <c r="H116">
        <v>0</v>
      </c>
      <c r="I116" t="s">
        <v>127</v>
      </c>
      <c r="J116">
        <v>0</v>
      </c>
      <c r="K116">
        <v>0</v>
      </c>
      <c r="L116" t="s">
        <v>3</v>
      </c>
      <c r="M116" t="s">
        <v>3</v>
      </c>
      <c r="N116">
        <v>0</v>
      </c>
      <c r="O116">
        <v>0</v>
      </c>
    </row>
    <row r="117" spans="1:15" x14ac:dyDescent="0.2">
      <c r="A117">
        <v>70</v>
      </c>
      <c r="B117">
        <v>1</v>
      </c>
      <c r="D117">
        <v>8</v>
      </c>
      <c r="E117" t="s">
        <v>140</v>
      </c>
      <c r="F117" t="s">
        <v>141</v>
      </c>
      <c r="G117">
        <v>0</v>
      </c>
      <c r="H117">
        <v>0</v>
      </c>
      <c r="I117" t="s">
        <v>127</v>
      </c>
      <c r="J117">
        <v>0</v>
      </c>
      <c r="K117">
        <v>0</v>
      </c>
      <c r="L117" t="s">
        <v>3</v>
      </c>
      <c r="M117" t="s">
        <v>3</v>
      </c>
      <c r="N117">
        <v>0</v>
      </c>
      <c r="O117">
        <v>0</v>
      </c>
    </row>
    <row r="118" spans="1:15" x14ac:dyDescent="0.2">
      <c r="A118">
        <v>70</v>
      </c>
      <c r="B118">
        <v>1</v>
      </c>
      <c r="D118">
        <v>9</v>
      </c>
      <c r="E118" t="s">
        <v>142</v>
      </c>
      <c r="F118" t="s">
        <v>143</v>
      </c>
      <c r="G118">
        <v>0</v>
      </c>
      <c r="H118">
        <v>0</v>
      </c>
      <c r="I118" t="s">
        <v>127</v>
      </c>
      <c r="J118">
        <v>0</v>
      </c>
      <c r="K118">
        <v>0</v>
      </c>
      <c r="L118" t="s">
        <v>3</v>
      </c>
      <c r="M118" t="s">
        <v>3</v>
      </c>
      <c r="N118">
        <v>0</v>
      </c>
      <c r="O118">
        <v>0</v>
      </c>
    </row>
    <row r="119" spans="1:15" x14ac:dyDescent="0.2">
      <c r="A119">
        <v>70</v>
      </c>
      <c r="B119">
        <v>1</v>
      </c>
      <c r="D119">
        <v>1</v>
      </c>
      <c r="E119" t="s">
        <v>144</v>
      </c>
      <c r="F119" t="s">
        <v>145</v>
      </c>
      <c r="G119">
        <v>1</v>
      </c>
      <c r="H119">
        <v>1</v>
      </c>
      <c r="I119" t="s">
        <v>127</v>
      </c>
      <c r="J119">
        <v>0</v>
      </c>
      <c r="K119">
        <v>0</v>
      </c>
      <c r="L119" t="s">
        <v>3</v>
      </c>
      <c r="M119" t="s">
        <v>3</v>
      </c>
      <c r="N119">
        <v>0</v>
      </c>
      <c r="O119">
        <v>1</v>
      </c>
    </row>
    <row r="120" spans="1:15" x14ac:dyDescent="0.2">
      <c r="A120">
        <v>70</v>
      </c>
      <c r="B120">
        <v>1</v>
      </c>
      <c r="D120">
        <v>2</v>
      </c>
      <c r="E120" t="s">
        <v>146</v>
      </c>
      <c r="F120" t="s">
        <v>147</v>
      </c>
      <c r="G120">
        <v>1</v>
      </c>
      <c r="H120">
        <v>1</v>
      </c>
      <c r="I120" t="s">
        <v>127</v>
      </c>
      <c r="J120">
        <v>0</v>
      </c>
      <c r="K120">
        <v>0</v>
      </c>
      <c r="L120" t="s">
        <v>3</v>
      </c>
      <c r="M120" t="s">
        <v>3</v>
      </c>
      <c r="N120">
        <v>0</v>
      </c>
      <c r="O120">
        <v>1</v>
      </c>
    </row>
    <row r="121" spans="1:15" x14ac:dyDescent="0.2">
      <c r="A121">
        <v>70</v>
      </c>
      <c r="B121">
        <v>1</v>
      </c>
      <c r="D121">
        <v>3</v>
      </c>
      <c r="E121" t="s">
        <v>148</v>
      </c>
      <c r="F121" t="s">
        <v>149</v>
      </c>
      <c r="G121">
        <v>1</v>
      </c>
      <c r="H121">
        <v>0</v>
      </c>
      <c r="I121" t="s">
        <v>127</v>
      </c>
      <c r="J121">
        <v>0</v>
      </c>
      <c r="K121">
        <v>0</v>
      </c>
      <c r="L121" t="s">
        <v>3</v>
      </c>
      <c r="M121" t="s">
        <v>3</v>
      </c>
      <c r="N121">
        <v>0</v>
      </c>
      <c r="O121">
        <v>1</v>
      </c>
    </row>
    <row r="122" spans="1:15" x14ac:dyDescent="0.2">
      <c r="A122">
        <v>70</v>
      </c>
      <c r="B122">
        <v>1</v>
      </c>
      <c r="D122">
        <v>4</v>
      </c>
      <c r="E122" t="s">
        <v>150</v>
      </c>
      <c r="F122" t="s">
        <v>151</v>
      </c>
      <c r="G122">
        <v>1</v>
      </c>
      <c r="H122">
        <v>0</v>
      </c>
      <c r="I122" t="s">
        <v>127</v>
      </c>
      <c r="J122">
        <v>0</v>
      </c>
      <c r="K122">
        <v>0</v>
      </c>
      <c r="L122" t="s">
        <v>3</v>
      </c>
      <c r="M122" t="s">
        <v>3</v>
      </c>
      <c r="N122">
        <v>0</v>
      </c>
      <c r="O122">
        <v>1</v>
      </c>
    </row>
    <row r="123" spans="1:15" x14ac:dyDescent="0.2">
      <c r="A123">
        <v>70</v>
      </c>
      <c r="B123">
        <v>1</v>
      </c>
      <c r="D123">
        <v>5</v>
      </c>
      <c r="E123" t="s">
        <v>152</v>
      </c>
      <c r="F123" t="s">
        <v>153</v>
      </c>
      <c r="G123">
        <v>1</v>
      </c>
      <c r="H123">
        <v>0</v>
      </c>
      <c r="I123" t="s">
        <v>127</v>
      </c>
      <c r="J123">
        <v>0</v>
      </c>
      <c r="K123">
        <v>0</v>
      </c>
      <c r="L123" t="s">
        <v>3</v>
      </c>
      <c r="M123" t="s">
        <v>3</v>
      </c>
      <c r="N123">
        <v>0</v>
      </c>
      <c r="O123">
        <v>0.85</v>
      </c>
    </row>
    <row r="124" spans="1:15" x14ac:dyDescent="0.2">
      <c r="A124">
        <v>70</v>
      </c>
      <c r="B124">
        <v>1</v>
      </c>
      <c r="D124">
        <v>6</v>
      </c>
      <c r="E124" t="s">
        <v>154</v>
      </c>
      <c r="F124" t="s">
        <v>155</v>
      </c>
      <c r="G124">
        <v>1</v>
      </c>
      <c r="H124">
        <v>0</v>
      </c>
      <c r="I124" t="s">
        <v>127</v>
      </c>
      <c r="J124">
        <v>0</v>
      </c>
      <c r="K124">
        <v>0</v>
      </c>
      <c r="L124" t="s">
        <v>3</v>
      </c>
      <c r="M124" t="s">
        <v>3</v>
      </c>
      <c r="N124">
        <v>0</v>
      </c>
      <c r="O124">
        <v>0.8</v>
      </c>
    </row>
    <row r="125" spans="1:15" x14ac:dyDescent="0.2">
      <c r="A125">
        <v>70</v>
      </c>
      <c r="B125">
        <v>1</v>
      </c>
      <c r="D125">
        <v>7</v>
      </c>
      <c r="E125" t="s">
        <v>156</v>
      </c>
      <c r="F125" t="s">
        <v>157</v>
      </c>
      <c r="G125">
        <v>1</v>
      </c>
      <c r="H125">
        <v>0</v>
      </c>
      <c r="I125" t="s">
        <v>127</v>
      </c>
      <c r="J125">
        <v>0</v>
      </c>
      <c r="K125">
        <v>0</v>
      </c>
      <c r="L125" t="s">
        <v>3</v>
      </c>
      <c r="M125" t="s">
        <v>3</v>
      </c>
      <c r="N125">
        <v>0</v>
      </c>
      <c r="O125">
        <v>1</v>
      </c>
    </row>
    <row r="126" spans="1:15" x14ac:dyDescent="0.2">
      <c r="A126">
        <v>70</v>
      </c>
      <c r="B126">
        <v>1</v>
      </c>
      <c r="D126">
        <v>8</v>
      </c>
      <c r="E126" t="s">
        <v>158</v>
      </c>
      <c r="F126" t="s">
        <v>159</v>
      </c>
      <c r="G126">
        <v>1</v>
      </c>
      <c r="H126">
        <v>0.8</v>
      </c>
      <c r="I126" t="s">
        <v>127</v>
      </c>
      <c r="J126">
        <v>0</v>
      </c>
      <c r="K126">
        <v>0</v>
      </c>
      <c r="L126" t="s">
        <v>3</v>
      </c>
      <c r="M126" t="s">
        <v>3</v>
      </c>
      <c r="N126">
        <v>0</v>
      </c>
      <c r="O126">
        <v>1</v>
      </c>
    </row>
    <row r="127" spans="1:15" x14ac:dyDescent="0.2">
      <c r="A127">
        <v>70</v>
      </c>
      <c r="B127">
        <v>1</v>
      </c>
      <c r="D127">
        <v>9</v>
      </c>
      <c r="E127" t="s">
        <v>160</v>
      </c>
      <c r="F127" t="s">
        <v>161</v>
      </c>
      <c r="G127">
        <v>1</v>
      </c>
      <c r="H127">
        <v>0.85</v>
      </c>
      <c r="I127" t="s">
        <v>127</v>
      </c>
      <c r="J127">
        <v>0</v>
      </c>
      <c r="K127">
        <v>0</v>
      </c>
      <c r="L127" t="s">
        <v>3</v>
      </c>
      <c r="M127" t="s">
        <v>3</v>
      </c>
      <c r="N127">
        <v>0</v>
      </c>
      <c r="O127">
        <v>1</v>
      </c>
    </row>
    <row r="128" spans="1:15" x14ac:dyDescent="0.2">
      <c r="A128">
        <v>70</v>
      </c>
      <c r="B128">
        <v>1</v>
      </c>
      <c r="D128">
        <v>10</v>
      </c>
      <c r="E128" t="s">
        <v>162</v>
      </c>
      <c r="F128" t="s">
        <v>163</v>
      </c>
      <c r="G128">
        <v>1</v>
      </c>
      <c r="H128">
        <v>0</v>
      </c>
      <c r="I128" t="s">
        <v>127</v>
      </c>
      <c r="J128">
        <v>0</v>
      </c>
      <c r="K128">
        <v>0</v>
      </c>
      <c r="L128" t="s">
        <v>3</v>
      </c>
      <c r="M128" t="s">
        <v>3</v>
      </c>
      <c r="N128">
        <v>0</v>
      </c>
      <c r="O128">
        <v>1</v>
      </c>
    </row>
    <row r="129" spans="1:15" x14ac:dyDescent="0.2">
      <c r="A129">
        <v>70</v>
      </c>
      <c r="B129">
        <v>1</v>
      </c>
      <c r="D129">
        <v>11</v>
      </c>
      <c r="E129" t="s">
        <v>164</v>
      </c>
      <c r="F129" t="s">
        <v>165</v>
      </c>
      <c r="G129">
        <v>1</v>
      </c>
      <c r="H129">
        <v>0</v>
      </c>
      <c r="I129" t="s">
        <v>127</v>
      </c>
      <c r="J129">
        <v>0</v>
      </c>
      <c r="K129">
        <v>0</v>
      </c>
      <c r="L129" t="s">
        <v>3</v>
      </c>
      <c r="M129" t="s">
        <v>3</v>
      </c>
      <c r="N129">
        <v>0</v>
      </c>
      <c r="O129">
        <v>0.94</v>
      </c>
    </row>
    <row r="130" spans="1:15" x14ac:dyDescent="0.2">
      <c r="A130">
        <v>70</v>
      </c>
      <c r="B130">
        <v>1</v>
      </c>
      <c r="D130">
        <v>12</v>
      </c>
      <c r="E130" t="s">
        <v>166</v>
      </c>
      <c r="F130" t="s">
        <v>167</v>
      </c>
      <c r="G130">
        <v>1</v>
      </c>
      <c r="H130">
        <v>0</v>
      </c>
      <c r="I130" t="s">
        <v>127</v>
      </c>
      <c r="J130">
        <v>0</v>
      </c>
      <c r="K130">
        <v>0</v>
      </c>
      <c r="L130" t="s">
        <v>3</v>
      </c>
      <c r="M130" t="s">
        <v>3</v>
      </c>
      <c r="N130">
        <v>0</v>
      </c>
      <c r="O130">
        <v>0.9</v>
      </c>
    </row>
    <row r="131" spans="1:15" x14ac:dyDescent="0.2">
      <c r="A131">
        <v>70</v>
      </c>
      <c r="B131">
        <v>1</v>
      </c>
      <c r="D131">
        <v>13</v>
      </c>
      <c r="E131" t="s">
        <v>168</v>
      </c>
      <c r="F131" t="s">
        <v>169</v>
      </c>
      <c r="G131">
        <v>0.6</v>
      </c>
      <c r="H131">
        <v>0</v>
      </c>
      <c r="I131" t="s">
        <v>127</v>
      </c>
      <c r="J131">
        <v>0</v>
      </c>
      <c r="K131">
        <v>0</v>
      </c>
      <c r="L131" t="s">
        <v>3</v>
      </c>
      <c r="M131" t="s">
        <v>3</v>
      </c>
      <c r="N131">
        <v>0</v>
      </c>
      <c r="O131">
        <v>0.6</v>
      </c>
    </row>
    <row r="132" spans="1:15" x14ac:dyDescent="0.2">
      <c r="A132">
        <v>70</v>
      </c>
      <c r="B132">
        <v>1</v>
      </c>
      <c r="D132">
        <v>14</v>
      </c>
      <c r="E132" t="s">
        <v>170</v>
      </c>
      <c r="F132" t="s">
        <v>171</v>
      </c>
      <c r="G132">
        <v>1</v>
      </c>
      <c r="H132">
        <v>0</v>
      </c>
      <c r="I132" t="s">
        <v>127</v>
      </c>
      <c r="J132">
        <v>0</v>
      </c>
      <c r="K132">
        <v>0</v>
      </c>
      <c r="L132" t="s">
        <v>3</v>
      </c>
      <c r="M132" t="s">
        <v>3</v>
      </c>
      <c r="N132">
        <v>0</v>
      </c>
      <c r="O132">
        <v>1</v>
      </c>
    </row>
    <row r="133" spans="1:15" x14ac:dyDescent="0.2">
      <c r="A133">
        <v>70</v>
      </c>
      <c r="B133">
        <v>1</v>
      </c>
      <c r="D133">
        <v>15</v>
      </c>
      <c r="E133" t="s">
        <v>172</v>
      </c>
      <c r="F133" t="s">
        <v>173</v>
      </c>
      <c r="G133">
        <v>1.2</v>
      </c>
      <c r="H133">
        <v>0</v>
      </c>
      <c r="I133" t="s">
        <v>127</v>
      </c>
      <c r="J133">
        <v>0</v>
      </c>
      <c r="K133">
        <v>0</v>
      </c>
      <c r="L133" t="s">
        <v>3</v>
      </c>
      <c r="M133" t="s">
        <v>3</v>
      </c>
      <c r="N133">
        <v>0</v>
      </c>
      <c r="O133">
        <v>1.2</v>
      </c>
    </row>
    <row r="134" spans="1:15" x14ac:dyDescent="0.2">
      <c r="A134">
        <v>70</v>
      </c>
      <c r="B134">
        <v>1</v>
      </c>
      <c r="D134">
        <v>16</v>
      </c>
      <c r="E134" t="s">
        <v>174</v>
      </c>
      <c r="F134" t="s">
        <v>175</v>
      </c>
      <c r="G134">
        <v>1</v>
      </c>
      <c r="H134">
        <v>0</v>
      </c>
      <c r="I134" t="s">
        <v>127</v>
      </c>
      <c r="J134">
        <v>0</v>
      </c>
      <c r="K134">
        <v>0</v>
      </c>
      <c r="L134" t="s">
        <v>3</v>
      </c>
      <c r="M134" t="s">
        <v>3</v>
      </c>
      <c r="N134">
        <v>0</v>
      </c>
      <c r="O134">
        <v>1</v>
      </c>
    </row>
    <row r="135" spans="1:15" x14ac:dyDescent="0.2">
      <c r="A135">
        <v>70</v>
      </c>
      <c r="B135">
        <v>1</v>
      </c>
      <c r="D135">
        <v>17</v>
      </c>
      <c r="E135" t="s">
        <v>176</v>
      </c>
      <c r="F135" t="s">
        <v>177</v>
      </c>
      <c r="G135">
        <v>1</v>
      </c>
      <c r="H135">
        <v>0</v>
      </c>
      <c r="I135" t="s">
        <v>127</v>
      </c>
      <c r="J135">
        <v>0</v>
      </c>
      <c r="K135">
        <v>0</v>
      </c>
      <c r="L135" t="s">
        <v>3</v>
      </c>
      <c r="M135" t="s">
        <v>3</v>
      </c>
      <c r="N135">
        <v>0</v>
      </c>
      <c r="O135">
        <v>1</v>
      </c>
    </row>
    <row r="136" spans="1:15" x14ac:dyDescent="0.2">
      <c r="A136">
        <v>70</v>
      </c>
      <c r="B136">
        <v>1</v>
      </c>
      <c r="D136">
        <v>18</v>
      </c>
      <c r="E136" t="s">
        <v>178</v>
      </c>
      <c r="F136" t="s">
        <v>179</v>
      </c>
      <c r="G136">
        <v>1</v>
      </c>
      <c r="H136">
        <v>0</v>
      </c>
      <c r="I136" t="s">
        <v>127</v>
      </c>
      <c r="J136">
        <v>0</v>
      </c>
      <c r="K136">
        <v>0</v>
      </c>
      <c r="L136" t="s">
        <v>3</v>
      </c>
      <c r="M136" t="s">
        <v>3</v>
      </c>
      <c r="N136">
        <v>0</v>
      </c>
      <c r="O136">
        <v>1</v>
      </c>
    </row>
    <row r="137" spans="1:15" x14ac:dyDescent="0.2">
      <c r="A137">
        <v>70</v>
      </c>
      <c r="B137">
        <v>1</v>
      </c>
      <c r="D137">
        <v>19</v>
      </c>
      <c r="E137" t="s">
        <v>180</v>
      </c>
      <c r="F137" t="s">
        <v>177</v>
      </c>
      <c r="G137">
        <v>1</v>
      </c>
      <c r="H137">
        <v>0</v>
      </c>
      <c r="I137" t="s">
        <v>127</v>
      </c>
      <c r="J137">
        <v>0</v>
      </c>
      <c r="K137">
        <v>0</v>
      </c>
      <c r="L137" t="s">
        <v>3</v>
      </c>
      <c r="M137" t="s">
        <v>3</v>
      </c>
      <c r="N137">
        <v>0</v>
      </c>
      <c r="O137">
        <v>1</v>
      </c>
    </row>
    <row r="138" spans="1:15" x14ac:dyDescent="0.2">
      <c r="A138">
        <v>70</v>
      </c>
      <c r="B138">
        <v>1</v>
      </c>
      <c r="D138">
        <v>20</v>
      </c>
      <c r="E138" t="s">
        <v>181</v>
      </c>
      <c r="F138" t="s">
        <v>179</v>
      </c>
      <c r="G138">
        <v>1</v>
      </c>
      <c r="H138">
        <v>0</v>
      </c>
      <c r="I138" t="s">
        <v>127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1</v>
      </c>
    </row>
    <row r="139" spans="1:15" x14ac:dyDescent="0.2">
      <c r="A139">
        <v>70</v>
      </c>
      <c r="B139">
        <v>1</v>
      </c>
      <c r="D139">
        <v>21</v>
      </c>
      <c r="E139" t="s">
        <v>182</v>
      </c>
      <c r="F139" t="s">
        <v>183</v>
      </c>
      <c r="G139">
        <v>0</v>
      </c>
      <c r="H139">
        <v>0</v>
      </c>
      <c r="I139" t="s">
        <v>127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0</v>
      </c>
    </row>
    <row r="141" spans="1:15" x14ac:dyDescent="0.2">
      <c r="A141">
        <v>-1</v>
      </c>
    </row>
    <row r="143" spans="1:15" x14ac:dyDescent="0.2">
      <c r="A143" s="4">
        <v>75</v>
      </c>
      <c r="B143" s="4" t="s">
        <v>184</v>
      </c>
      <c r="C143" s="4">
        <v>2000</v>
      </c>
      <c r="D143" s="4">
        <v>0</v>
      </c>
      <c r="E143" s="4">
        <v>1</v>
      </c>
      <c r="F143" s="4">
        <v>0</v>
      </c>
      <c r="G143" s="4">
        <v>0</v>
      </c>
      <c r="H143" s="4">
        <v>1</v>
      </c>
      <c r="I143" s="4">
        <v>0</v>
      </c>
      <c r="J143" s="4">
        <v>4</v>
      </c>
      <c r="K143" s="4">
        <v>0</v>
      </c>
      <c r="L143" s="4">
        <v>0</v>
      </c>
      <c r="M143" s="4">
        <v>0</v>
      </c>
      <c r="N143" s="4">
        <v>34687670</v>
      </c>
      <c r="O143" s="4">
        <v>1</v>
      </c>
    </row>
    <row r="144" spans="1:15" x14ac:dyDescent="0.2">
      <c r="A144" s="4">
        <v>75</v>
      </c>
      <c r="B144" s="4" t="s">
        <v>185</v>
      </c>
      <c r="C144" s="4">
        <v>2018</v>
      </c>
      <c r="D144" s="4">
        <v>1</v>
      </c>
      <c r="E144" s="4">
        <v>0</v>
      </c>
      <c r="F144" s="4">
        <v>0</v>
      </c>
      <c r="G144" s="4">
        <v>0</v>
      </c>
      <c r="H144" s="4">
        <v>1</v>
      </c>
      <c r="I144" s="4">
        <v>0</v>
      </c>
      <c r="J144" s="4">
        <v>4</v>
      </c>
      <c r="K144" s="4">
        <v>0</v>
      </c>
      <c r="L144" s="4">
        <v>0</v>
      </c>
      <c r="M144" s="4">
        <v>1</v>
      </c>
      <c r="N144" s="4">
        <v>34687671</v>
      </c>
      <c r="O144" s="4">
        <v>2</v>
      </c>
    </row>
    <row r="145" spans="1:34" x14ac:dyDescent="0.2">
      <c r="A145" s="6">
        <v>3</v>
      </c>
      <c r="B145" s="6" t="s">
        <v>186</v>
      </c>
      <c r="C145" s="6">
        <v>12.5</v>
      </c>
      <c r="D145" s="6">
        <v>7.5</v>
      </c>
      <c r="E145" s="6">
        <v>12.5</v>
      </c>
      <c r="F145" s="6">
        <v>18.3</v>
      </c>
      <c r="G145" s="6">
        <v>18.3</v>
      </c>
      <c r="H145" s="6">
        <v>7.5</v>
      </c>
      <c r="I145" s="6">
        <v>18.3</v>
      </c>
      <c r="J145" s="6">
        <v>2</v>
      </c>
      <c r="K145" s="6">
        <v>18.3</v>
      </c>
      <c r="L145" s="6">
        <v>12.5</v>
      </c>
      <c r="M145" s="6">
        <v>12.5</v>
      </c>
      <c r="N145" s="6">
        <v>7.5</v>
      </c>
      <c r="O145" s="6">
        <v>7.5</v>
      </c>
      <c r="P145" s="6">
        <v>18.3</v>
      </c>
      <c r="Q145" s="6">
        <v>18.3</v>
      </c>
      <c r="R145" s="6">
        <v>12.5</v>
      </c>
      <c r="S145" s="6" t="s">
        <v>3</v>
      </c>
      <c r="T145" s="6" t="s">
        <v>3</v>
      </c>
      <c r="U145" s="6" t="s">
        <v>3</v>
      </c>
      <c r="V145" s="6" t="s">
        <v>3</v>
      </c>
      <c r="W145" s="6" t="s">
        <v>3</v>
      </c>
      <c r="X145" s="6" t="s">
        <v>3</v>
      </c>
      <c r="Y145" s="6" t="s">
        <v>3</v>
      </c>
      <c r="Z145" s="6" t="s">
        <v>3</v>
      </c>
      <c r="AA145" s="6" t="s">
        <v>3</v>
      </c>
      <c r="AB145" s="6" t="s">
        <v>3</v>
      </c>
      <c r="AC145" s="6" t="s">
        <v>3</v>
      </c>
      <c r="AD145" s="6" t="s">
        <v>3</v>
      </c>
      <c r="AE145" s="6" t="s">
        <v>3</v>
      </c>
      <c r="AF145" s="6" t="s">
        <v>3</v>
      </c>
      <c r="AG145" s="6" t="s">
        <v>3</v>
      </c>
      <c r="AH145" s="6" t="s">
        <v>3</v>
      </c>
    </row>
    <row r="149" spans="1:34" x14ac:dyDescent="0.2">
      <c r="A149">
        <v>65</v>
      </c>
      <c r="C149">
        <v>1</v>
      </c>
      <c r="D149">
        <v>0</v>
      </c>
      <c r="E149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187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34687670</v>
      </c>
      <c r="E14" s="1">
        <v>34687671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(Source!F68)/1000</f>
        <v>26.85819</v>
      </c>
      <c r="F16" s="8">
        <f>(Source!F69)/1000</f>
        <v>0.55201999999999996</v>
      </c>
      <c r="G16" s="8">
        <f>(Source!F60)/1000</f>
        <v>0</v>
      </c>
      <c r="H16" s="8">
        <f>(Source!F70)/1000+(Source!F71)/1000</f>
        <v>0.46544999999999997</v>
      </c>
      <c r="I16" s="8">
        <f>E16+F16+G16+H16</f>
        <v>27.87566</v>
      </c>
      <c r="J16" s="8">
        <f>(Source!F66)/1000</f>
        <v>0.39223000000000002</v>
      </c>
      <c r="T16" s="9">
        <f>(Source!P68)/1000</f>
        <v>201.43644</v>
      </c>
      <c r="U16" s="9">
        <f>(Source!P69)/1000</f>
        <v>8.6290700000000005</v>
      </c>
      <c r="V16" s="9">
        <f>(Source!P60)/1000</f>
        <v>0</v>
      </c>
      <c r="W16" s="9">
        <f>(Source!P70)/1000+(Source!P71)/1000</f>
        <v>7.7698900000000002</v>
      </c>
      <c r="X16" s="9">
        <f>T16+U16+V16+W16</f>
        <v>217.83540000000002</v>
      </c>
      <c r="Y16" s="9">
        <f>(Source!P66)/1000</f>
        <v>7.1778199999999996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27352.98</v>
      </c>
      <c r="AU16" s="8">
        <v>26858.2</v>
      </c>
      <c r="AV16" s="8">
        <v>0</v>
      </c>
      <c r="AW16" s="8">
        <v>0</v>
      </c>
      <c r="AX16" s="8">
        <v>0</v>
      </c>
      <c r="AY16" s="8">
        <v>102.55</v>
      </c>
      <c r="AZ16" s="8">
        <v>12.49</v>
      </c>
      <c r="BA16" s="8">
        <v>392.23</v>
      </c>
      <c r="BB16" s="8">
        <v>26858.19</v>
      </c>
      <c r="BC16" s="8">
        <v>552.02</v>
      </c>
      <c r="BD16" s="8">
        <v>465.45</v>
      </c>
      <c r="BE16" s="8">
        <v>0</v>
      </c>
      <c r="BF16" s="8">
        <v>35.17</v>
      </c>
      <c r="BG16" s="8">
        <v>1.42</v>
      </c>
      <c r="BH16" s="8">
        <v>0</v>
      </c>
      <c r="BI16" s="8">
        <v>316.37</v>
      </c>
      <c r="BJ16" s="8">
        <v>206.31</v>
      </c>
      <c r="BK16" s="8">
        <v>27875.66</v>
      </c>
      <c r="BR16" s="9">
        <v>209896.22</v>
      </c>
      <c r="BS16" s="9">
        <v>201436.52</v>
      </c>
      <c r="BT16" s="9">
        <v>0</v>
      </c>
      <c r="BU16" s="9">
        <v>0</v>
      </c>
      <c r="BV16" s="9">
        <v>0</v>
      </c>
      <c r="BW16" s="9">
        <v>1281.8800000000001</v>
      </c>
      <c r="BX16" s="9">
        <v>228.56</v>
      </c>
      <c r="BY16" s="9">
        <v>7177.82</v>
      </c>
      <c r="BZ16" s="9">
        <v>201436.44</v>
      </c>
      <c r="CA16" s="9">
        <v>8629.07</v>
      </c>
      <c r="CB16" s="9">
        <v>7769.89</v>
      </c>
      <c r="CC16" s="9">
        <v>0</v>
      </c>
      <c r="CD16" s="9">
        <v>35.17</v>
      </c>
      <c r="CE16" s="9">
        <v>1.42</v>
      </c>
      <c r="CF16" s="9">
        <v>0</v>
      </c>
      <c r="CG16" s="9">
        <v>4918.8599999999997</v>
      </c>
      <c r="CH16" s="9">
        <v>3020.32</v>
      </c>
      <c r="CI16" s="9">
        <v>217835.4</v>
      </c>
    </row>
    <row r="18" spans="1:40" x14ac:dyDescent="0.2">
      <c r="A18">
        <v>51</v>
      </c>
      <c r="E18" s="10">
        <f>SUMIF(A16:A17,3,E16:E17)</f>
        <v>26.85819</v>
      </c>
      <c r="F18" s="10">
        <f>SUMIF(A16:A17,3,F16:F17)</f>
        <v>0.55201999999999996</v>
      </c>
      <c r="G18" s="10">
        <f>SUMIF(A16:A17,3,G16:G17)</f>
        <v>0</v>
      </c>
      <c r="H18" s="10">
        <f>SUMIF(A16:A17,3,H16:H17)</f>
        <v>0.46544999999999997</v>
      </c>
      <c r="I18" s="10">
        <f>SUMIF(A16:A17,3,I16:I17)</f>
        <v>27.87566</v>
      </c>
      <c r="J18" s="10">
        <f>SUMIF(A16:A17,3,J16:J17)</f>
        <v>0.39223000000000002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201.43644</v>
      </c>
      <c r="U18" s="3">
        <f>SUMIF(A16:A17,3,U16:U17)</f>
        <v>8.6290700000000005</v>
      </c>
      <c r="V18" s="3">
        <f>SUMIF(A16:A17,3,V16:V17)</f>
        <v>0</v>
      </c>
      <c r="W18" s="3">
        <f>SUMIF(A16:A17,3,W16:W17)</f>
        <v>7.7698900000000002</v>
      </c>
      <c r="X18" s="3">
        <f>SUMIF(A16:A17,3,X16:X17)</f>
        <v>217.83540000000002</v>
      </c>
      <c r="Y18" s="3">
        <f>SUMIF(A16:A17,3,Y16:Y17)</f>
        <v>7.1778199999999996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27352.98</v>
      </c>
      <c r="G20" s="5" t="s">
        <v>73</v>
      </c>
      <c r="H20" s="5" t="s">
        <v>74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209896.22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26858.2</v>
      </c>
      <c r="G21" s="5" t="s">
        <v>75</v>
      </c>
      <c r="H21" s="5" t="s">
        <v>76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201436.52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77</v>
      </c>
      <c r="H22" s="5" t="s">
        <v>78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26858.2</v>
      </c>
      <c r="G23" s="5" t="s">
        <v>79</v>
      </c>
      <c r="H23" s="5" t="s">
        <v>80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201436.52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26858.2</v>
      </c>
      <c r="G24" s="5" t="s">
        <v>81</v>
      </c>
      <c r="H24" s="5" t="s">
        <v>82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201436.52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83</v>
      </c>
      <c r="H25" s="5" t="s">
        <v>84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26858.2</v>
      </c>
      <c r="G26" s="5" t="s">
        <v>85</v>
      </c>
      <c r="H26" s="5" t="s">
        <v>86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201436.52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87</v>
      </c>
      <c r="H27" s="5" t="s">
        <v>88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89</v>
      </c>
      <c r="H28" s="5" t="s">
        <v>90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91</v>
      </c>
      <c r="H29" s="5" t="s">
        <v>92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102.55</v>
      </c>
      <c r="G30" s="5" t="s">
        <v>93</v>
      </c>
      <c r="H30" s="5" t="s">
        <v>94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1281.8800000000001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95</v>
      </c>
      <c r="H31" s="5" t="s">
        <v>96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12.49</v>
      </c>
      <c r="G32" s="5" t="s">
        <v>97</v>
      </c>
      <c r="H32" s="5" t="s">
        <v>98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228.56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392.23</v>
      </c>
      <c r="G33" s="5" t="s">
        <v>99</v>
      </c>
      <c r="H33" s="5" t="s">
        <v>100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7177.82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101</v>
      </c>
      <c r="H34" s="5" t="s">
        <v>102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26858.19</v>
      </c>
      <c r="G35" s="5" t="s">
        <v>103</v>
      </c>
      <c r="H35" s="5" t="s">
        <v>104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201436.44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552.02</v>
      </c>
      <c r="G36" s="5" t="s">
        <v>105</v>
      </c>
      <c r="H36" s="5" t="s">
        <v>106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8629.07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465.45</v>
      </c>
      <c r="G37" s="5" t="s">
        <v>107</v>
      </c>
      <c r="H37" s="5" t="s">
        <v>108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7769.89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109</v>
      </c>
      <c r="H38" s="5" t="s">
        <v>110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111</v>
      </c>
      <c r="H39" s="5" t="s">
        <v>112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35.17</v>
      </c>
      <c r="G40" s="5" t="s">
        <v>113</v>
      </c>
      <c r="H40" s="5" t="s">
        <v>114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35.17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1.42</v>
      </c>
      <c r="G41" s="5" t="s">
        <v>115</v>
      </c>
      <c r="H41" s="5" t="s">
        <v>116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1.42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117</v>
      </c>
      <c r="H42" s="5" t="s">
        <v>118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316.37</v>
      </c>
      <c r="G43" s="5" t="s">
        <v>119</v>
      </c>
      <c r="H43" s="5" t="s">
        <v>120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4918.8599999999997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206.31</v>
      </c>
      <c r="G44" s="5" t="s">
        <v>121</v>
      </c>
      <c r="H44" s="5" t="s">
        <v>122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3020.32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27875.66</v>
      </c>
      <c r="G45" s="5" t="s">
        <v>123</v>
      </c>
      <c r="H45" s="5" t="s">
        <v>124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217835.4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184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34687670</v>
      </c>
      <c r="O50" s="4">
        <v>1</v>
      </c>
    </row>
    <row r="51" spans="1:34" x14ac:dyDescent="0.2">
      <c r="A51" s="4">
        <v>75</v>
      </c>
      <c r="B51" s="4" t="s">
        <v>185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34687671</v>
      </c>
      <c r="O51" s="4">
        <v>2</v>
      </c>
    </row>
    <row r="52" spans="1:34" x14ac:dyDescent="0.2">
      <c r="A52" s="6">
        <v>3</v>
      </c>
      <c r="B52" s="6" t="s">
        <v>186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34687670</v>
      </c>
      <c r="C1">
        <v>34687733</v>
      </c>
      <c r="D1">
        <v>31715651</v>
      </c>
      <c r="E1">
        <v>1</v>
      </c>
      <c r="F1">
        <v>1</v>
      </c>
      <c r="G1">
        <v>1</v>
      </c>
      <c r="H1">
        <v>1</v>
      </c>
      <c r="I1" t="s">
        <v>188</v>
      </c>
      <c r="J1" t="s">
        <v>3</v>
      </c>
      <c r="K1" t="s">
        <v>189</v>
      </c>
      <c r="L1">
        <v>1191</v>
      </c>
      <c r="N1">
        <v>1013</v>
      </c>
      <c r="O1" t="s">
        <v>190</v>
      </c>
      <c r="P1" t="s">
        <v>190</v>
      </c>
      <c r="Q1">
        <v>1</v>
      </c>
      <c r="W1">
        <v>0</v>
      </c>
      <c r="X1">
        <v>1069510174</v>
      </c>
      <c r="Y1">
        <v>4.7699999999999996</v>
      </c>
      <c r="AA1">
        <v>0</v>
      </c>
      <c r="AB1">
        <v>0</v>
      </c>
      <c r="AC1">
        <v>0</v>
      </c>
      <c r="AD1">
        <v>9.6199999999999992</v>
      </c>
      <c r="AE1">
        <v>0</v>
      </c>
      <c r="AF1">
        <v>0</v>
      </c>
      <c r="AG1">
        <v>0</v>
      </c>
      <c r="AH1">
        <v>9.6199999999999992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7.95</v>
      </c>
      <c r="AU1" t="s">
        <v>19</v>
      </c>
      <c r="AV1">
        <v>1</v>
      </c>
      <c r="AW1">
        <v>2</v>
      </c>
      <c r="AX1">
        <v>34687739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4.7699999999999996</v>
      </c>
      <c r="CY1">
        <f>AD1</f>
        <v>9.6199999999999992</v>
      </c>
      <c r="CZ1">
        <f>AH1</f>
        <v>9.6199999999999992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34687670</v>
      </c>
      <c r="C2">
        <v>34687733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191</v>
      </c>
      <c r="J2" t="s">
        <v>3</v>
      </c>
      <c r="K2" t="s">
        <v>192</v>
      </c>
      <c r="L2">
        <v>1191</v>
      </c>
      <c r="N2">
        <v>1013</v>
      </c>
      <c r="O2" t="s">
        <v>190</v>
      </c>
      <c r="P2" t="s">
        <v>190</v>
      </c>
      <c r="Q2">
        <v>1</v>
      </c>
      <c r="W2">
        <v>0</v>
      </c>
      <c r="X2">
        <v>-1417349443</v>
      </c>
      <c r="Y2">
        <v>1.01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1.01</v>
      </c>
      <c r="AU2" t="s">
        <v>3</v>
      </c>
      <c r="AV2">
        <v>2</v>
      </c>
      <c r="AW2">
        <v>2</v>
      </c>
      <c r="AX2">
        <v>34687740</v>
      </c>
      <c r="AY2">
        <v>1</v>
      </c>
      <c r="AZ2">
        <v>2048</v>
      </c>
      <c r="BA2">
        <v>2</v>
      </c>
      <c r="BB2">
        <v>2</v>
      </c>
      <c r="BC2">
        <v>0</v>
      </c>
      <c r="BD2">
        <v>0</v>
      </c>
      <c r="BE2">
        <v>0</v>
      </c>
      <c r="BF2">
        <v>0</v>
      </c>
      <c r="BG2">
        <v>0</v>
      </c>
      <c r="BH2">
        <v>0.40400000000000003</v>
      </c>
      <c r="BI2">
        <v>1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1.01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34687670</v>
      </c>
      <c r="C3">
        <v>34687733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193</v>
      </c>
      <c r="J3" t="s">
        <v>194</v>
      </c>
      <c r="K3" t="s">
        <v>195</v>
      </c>
      <c r="L3">
        <v>1368</v>
      </c>
      <c r="N3">
        <v>1011</v>
      </c>
      <c r="O3" t="s">
        <v>196</v>
      </c>
      <c r="P3" t="s">
        <v>196</v>
      </c>
      <c r="Q3">
        <v>1</v>
      </c>
      <c r="W3">
        <v>0</v>
      </c>
      <c r="X3">
        <v>-1718674368</v>
      </c>
      <c r="Y3">
        <v>0.23399999999999999</v>
      </c>
      <c r="AA3">
        <v>0</v>
      </c>
      <c r="AB3">
        <v>111.99</v>
      </c>
      <c r="AC3">
        <v>13.5</v>
      </c>
      <c r="AD3">
        <v>0</v>
      </c>
      <c r="AE3">
        <v>0</v>
      </c>
      <c r="AF3">
        <v>111.99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3</v>
      </c>
      <c r="AT3">
        <v>0.39</v>
      </c>
      <c r="AU3" t="s">
        <v>19</v>
      </c>
      <c r="AV3">
        <v>0</v>
      </c>
      <c r="AW3">
        <v>2</v>
      </c>
      <c r="AX3">
        <v>34687741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0.23399999999999999</v>
      </c>
      <c r="CY3">
        <f>AB3</f>
        <v>111.99</v>
      </c>
      <c r="CZ3">
        <f>AF3</f>
        <v>111.99</v>
      </c>
      <c r="DA3">
        <f>AJ3</f>
        <v>1</v>
      </c>
      <c r="DB3">
        <v>0</v>
      </c>
    </row>
    <row r="4" spans="1:106" x14ac:dyDescent="0.2">
      <c r="A4">
        <f>ROW(Source!A24)</f>
        <v>24</v>
      </c>
      <c r="B4">
        <v>34687670</v>
      </c>
      <c r="C4">
        <v>34687733</v>
      </c>
      <c r="D4">
        <v>31526949</v>
      </c>
      <c r="E4">
        <v>1</v>
      </c>
      <c r="F4">
        <v>1</v>
      </c>
      <c r="G4">
        <v>1</v>
      </c>
      <c r="H4">
        <v>2</v>
      </c>
      <c r="I4" t="s">
        <v>197</v>
      </c>
      <c r="J4" t="s">
        <v>198</v>
      </c>
      <c r="K4" t="s">
        <v>199</v>
      </c>
      <c r="L4">
        <v>1368</v>
      </c>
      <c r="N4">
        <v>1011</v>
      </c>
      <c r="O4" t="s">
        <v>196</v>
      </c>
      <c r="P4" t="s">
        <v>196</v>
      </c>
      <c r="Q4">
        <v>1</v>
      </c>
      <c r="W4">
        <v>0</v>
      </c>
      <c r="X4">
        <v>-132295295</v>
      </c>
      <c r="Y4">
        <v>0.13800000000000001</v>
      </c>
      <c r="AA4">
        <v>0</v>
      </c>
      <c r="AB4">
        <v>131.44</v>
      </c>
      <c r="AC4">
        <v>11.6</v>
      </c>
      <c r="AD4">
        <v>0</v>
      </c>
      <c r="AE4">
        <v>0</v>
      </c>
      <c r="AF4">
        <v>131.44</v>
      </c>
      <c r="AG4">
        <v>11.6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3</v>
      </c>
      <c r="AT4">
        <v>0.23</v>
      </c>
      <c r="AU4" t="s">
        <v>19</v>
      </c>
      <c r="AV4">
        <v>0</v>
      </c>
      <c r="AW4">
        <v>2</v>
      </c>
      <c r="AX4">
        <v>34687742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0.13800000000000001</v>
      </c>
      <c r="CY4">
        <f>AB4</f>
        <v>131.44</v>
      </c>
      <c r="CZ4">
        <f>AF4</f>
        <v>131.44</v>
      </c>
      <c r="DA4">
        <f>AJ4</f>
        <v>1</v>
      </c>
      <c r="DB4">
        <v>0</v>
      </c>
    </row>
    <row r="5" spans="1:106" x14ac:dyDescent="0.2">
      <c r="A5">
        <f>ROW(Source!A24)</f>
        <v>24</v>
      </c>
      <c r="B5">
        <v>34687670</v>
      </c>
      <c r="C5">
        <v>34687733</v>
      </c>
      <c r="D5">
        <v>31528142</v>
      </c>
      <c r="E5">
        <v>1</v>
      </c>
      <c r="F5">
        <v>1</v>
      </c>
      <c r="G5">
        <v>1</v>
      </c>
      <c r="H5">
        <v>2</v>
      </c>
      <c r="I5" t="s">
        <v>200</v>
      </c>
      <c r="J5" t="s">
        <v>201</v>
      </c>
      <c r="K5" t="s">
        <v>202</v>
      </c>
      <c r="L5">
        <v>1368</v>
      </c>
      <c r="N5">
        <v>1011</v>
      </c>
      <c r="O5" t="s">
        <v>196</v>
      </c>
      <c r="P5" t="s">
        <v>196</v>
      </c>
      <c r="Q5">
        <v>1</v>
      </c>
      <c r="W5">
        <v>0</v>
      </c>
      <c r="X5">
        <v>1372534845</v>
      </c>
      <c r="Y5">
        <v>0.23399999999999999</v>
      </c>
      <c r="AA5">
        <v>0</v>
      </c>
      <c r="AB5">
        <v>65.709999999999994</v>
      </c>
      <c r="AC5">
        <v>11.6</v>
      </c>
      <c r="AD5">
        <v>0</v>
      </c>
      <c r="AE5">
        <v>0</v>
      </c>
      <c r="AF5">
        <v>65.709999999999994</v>
      </c>
      <c r="AG5">
        <v>11.6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3</v>
      </c>
      <c r="AT5">
        <v>0.39</v>
      </c>
      <c r="AU5" t="s">
        <v>19</v>
      </c>
      <c r="AV5">
        <v>0</v>
      </c>
      <c r="AW5">
        <v>2</v>
      </c>
      <c r="AX5">
        <v>34687743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Y5*Source!I24</f>
        <v>0.23399999999999999</v>
      </c>
      <c r="CY5">
        <f>AB5</f>
        <v>65.709999999999994</v>
      </c>
      <c r="CZ5">
        <f>AF5</f>
        <v>65.709999999999994</v>
      </c>
      <c r="DA5">
        <f>AJ5</f>
        <v>1</v>
      </c>
      <c r="DB5">
        <v>0</v>
      </c>
    </row>
    <row r="6" spans="1:106" x14ac:dyDescent="0.2">
      <c r="A6">
        <f>ROW(Source!A25)</f>
        <v>25</v>
      </c>
      <c r="B6">
        <v>34687671</v>
      </c>
      <c r="C6">
        <v>34687733</v>
      </c>
      <c r="D6">
        <v>31715651</v>
      </c>
      <c r="E6">
        <v>1</v>
      </c>
      <c r="F6">
        <v>1</v>
      </c>
      <c r="G6">
        <v>1</v>
      </c>
      <c r="H6">
        <v>1</v>
      </c>
      <c r="I6" t="s">
        <v>188</v>
      </c>
      <c r="J6" t="s">
        <v>3</v>
      </c>
      <c r="K6" t="s">
        <v>189</v>
      </c>
      <c r="L6">
        <v>1191</v>
      </c>
      <c r="N6">
        <v>1013</v>
      </c>
      <c r="O6" t="s">
        <v>190</v>
      </c>
      <c r="P6" t="s">
        <v>190</v>
      </c>
      <c r="Q6">
        <v>1</v>
      </c>
      <c r="W6">
        <v>0</v>
      </c>
      <c r="X6">
        <v>1069510174</v>
      </c>
      <c r="Y6">
        <v>4.7699999999999996</v>
      </c>
      <c r="AA6">
        <v>0</v>
      </c>
      <c r="AB6">
        <v>0</v>
      </c>
      <c r="AC6">
        <v>0</v>
      </c>
      <c r="AD6">
        <v>176.05</v>
      </c>
      <c r="AE6">
        <v>0</v>
      </c>
      <c r="AF6">
        <v>0</v>
      </c>
      <c r="AG6">
        <v>0</v>
      </c>
      <c r="AH6">
        <v>9.6199999999999992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1</v>
      </c>
      <c r="AQ6">
        <v>0</v>
      </c>
      <c r="AR6">
        <v>0</v>
      </c>
      <c r="AS6" t="s">
        <v>3</v>
      </c>
      <c r="AT6">
        <v>7.95</v>
      </c>
      <c r="AU6" t="s">
        <v>19</v>
      </c>
      <c r="AV6">
        <v>1</v>
      </c>
      <c r="AW6">
        <v>2</v>
      </c>
      <c r="AX6">
        <v>34687739</v>
      </c>
      <c r="AY6">
        <v>1</v>
      </c>
      <c r="AZ6">
        <v>0</v>
      </c>
      <c r="BA6">
        <v>10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4.7699999999999996</v>
      </c>
      <c r="CY6">
        <f>AD6</f>
        <v>176.05</v>
      </c>
      <c r="CZ6">
        <f>AH6</f>
        <v>9.6199999999999992</v>
      </c>
      <c r="DA6">
        <f>AL6</f>
        <v>18.3</v>
      </c>
      <c r="DB6">
        <v>0</v>
      </c>
    </row>
    <row r="7" spans="1:106" x14ac:dyDescent="0.2">
      <c r="A7">
        <f>ROW(Source!A25)</f>
        <v>25</v>
      </c>
      <c r="B7">
        <v>34687671</v>
      </c>
      <c r="C7">
        <v>34687733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191</v>
      </c>
      <c r="J7" t="s">
        <v>3</v>
      </c>
      <c r="K7" t="s">
        <v>192</v>
      </c>
      <c r="L7">
        <v>1191</v>
      </c>
      <c r="N7">
        <v>1013</v>
      </c>
      <c r="O7" t="s">
        <v>190</v>
      </c>
      <c r="P7" t="s">
        <v>190</v>
      </c>
      <c r="Q7">
        <v>1</v>
      </c>
      <c r="W7">
        <v>0</v>
      </c>
      <c r="X7">
        <v>-1417349443</v>
      </c>
      <c r="Y7">
        <v>1.01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18.3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1.01</v>
      </c>
      <c r="AU7" t="s">
        <v>3</v>
      </c>
      <c r="AV7">
        <v>2</v>
      </c>
      <c r="AW7">
        <v>2</v>
      </c>
      <c r="AX7">
        <v>34687740</v>
      </c>
      <c r="AY7">
        <v>1</v>
      </c>
      <c r="AZ7">
        <v>2048</v>
      </c>
      <c r="BA7">
        <v>11</v>
      </c>
      <c r="BB7">
        <v>2</v>
      </c>
      <c r="BC7">
        <v>0</v>
      </c>
      <c r="BD7">
        <v>0</v>
      </c>
      <c r="BE7">
        <v>0</v>
      </c>
      <c r="BF7">
        <v>0</v>
      </c>
      <c r="BG7">
        <v>0</v>
      </c>
      <c r="BH7">
        <v>0.40400000000000003</v>
      </c>
      <c r="BI7">
        <v>1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1.01</v>
      </c>
      <c r="CY7">
        <f>AD7</f>
        <v>0</v>
      </c>
      <c r="CZ7">
        <f>AH7</f>
        <v>0</v>
      </c>
      <c r="DA7">
        <f>AL7</f>
        <v>1</v>
      </c>
      <c r="DB7">
        <v>0</v>
      </c>
    </row>
    <row r="8" spans="1:106" x14ac:dyDescent="0.2">
      <c r="A8">
        <f>ROW(Source!A25)</f>
        <v>25</v>
      </c>
      <c r="B8">
        <v>34687671</v>
      </c>
      <c r="C8">
        <v>34687733</v>
      </c>
      <c r="D8">
        <v>31526753</v>
      </c>
      <c r="E8">
        <v>1</v>
      </c>
      <c r="F8">
        <v>1</v>
      </c>
      <c r="G8">
        <v>1</v>
      </c>
      <c r="H8">
        <v>2</v>
      </c>
      <c r="I8" t="s">
        <v>193</v>
      </c>
      <c r="J8" t="s">
        <v>194</v>
      </c>
      <c r="K8" t="s">
        <v>195</v>
      </c>
      <c r="L8">
        <v>1368</v>
      </c>
      <c r="N8">
        <v>1011</v>
      </c>
      <c r="O8" t="s">
        <v>196</v>
      </c>
      <c r="P8" t="s">
        <v>196</v>
      </c>
      <c r="Q8">
        <v>1</v>
      </c>
      <c r="W8">
        <v>0</v>
      </c>
      <c r="X8">
        <v>-1718674368</v>
      </c>
      <c r="Y8">
        <v>0.23399999999999999</v>
      </c>
      <c r="AA8">
        <v>0</v>
      </c>
      <c r="AB8">
        <v>1399.88</v>
      </c>
      <c r="AC8">
        <v>247.05</v>
      </c>
      <c r="AD8">
        <v>0</v>
      </c>
      <c r="AE8">
        <v>0</v>
      </c>
      <c r="AF8">
        <v>111.99</v>
      </c>
      <c r="AG8">
        <v>13.5</v>
      </c>
      <c r="AH8">
        <v>0</v>
      </c>
      <c r="AI8">
        <v>1</v>
      </c>
      <c r="AJ8">
        <v>12.5</v>
      </c>
      <c r="AK8">
        <v>18.3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3</v>
      </c>
      <c r="AT8">
        <v>0.39</v>
      </c>
      <c r="AU8" t="s">
        <v>19</v>
      </c>
      <c r="AV8">
        <v>0</v>
      </c>
      <c r="AW8">
        <v>2</v>
      </c>
      <c r="AX8">
        <v>34687741</v>
      </c>
      <c r="AY8">
        <v>1</v>
      </c>
      <c r="AZ8">
        <v>0</v>
      </c>
      <c r="BA8">
        <v>12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0.23399999999999999</v>
      </c>
      <c r="CY8">
        <f>AB8</f>
        <v>1399.88</v>
      </c>
      <c r="CZ8">
        <f>AF8</f>
        <v>111.99</v>
      </c>
      <c r="DA8">
        <f>AJ8</f>
        <v>12.5</v>
      </c>
      <c r="DB8">
        <v>0</v>
      </c>
    </row>
    <row r="9" spans="1:106" x14ac:dyDescent="0.2">
      <c r="A9">
        <f>ROW(Source!A25)</f>
        <v>25</v>
      </c>
      <c r="B9">
        <v>34687671</v>
      </c>
      <c r="C9">
        <v>34687733</v>
      </c>
      <c r="D9">
        <v>31526949</v>
      </c>
      <c r="E9">
        <v>1</v>
      </c>
      <c r="F9">
        <v>1</v>
      </c>
      <c r="G9">
        <v>1</v>
      </c>
      <c r="H9">
        <v>2</v>
      </c>
      <c r="I9" t="s">
        <v>197</v>
      </c>
      <c r="J9" t="s">
        <v>198</v>
      </c>
      <c r="K9" t="s">
        <v>199</v>
      </c>
      <c r="L9">
        <v>1368</v>
      </c>
      <c r="N9">
        <v>1011</v>
      </c>
      <c r="O9" t="s">
        <v>196</v>
      </c>
      <c r="P9" t="s">
        <v>196</v>
      </c>
      <c r="Q9">
        <v>1</v>
      </c>
      <c r="W9">
        <v>0</v>
      </c>
      <c r="X9">
        <v>-132295295</v>
      </c>
      <c r="Y9">
        <v>0.13800000000000001</v>
      </c>
      <c r="AA9">
        <v>0</v>
      </c>
      <c r="AB9">
        <v>1643</v>
      </c>
      <c r="AC9">
        <v>212.28</v>
      </c>
      <c r="AD9">
        <v>0</v>
      </c>
      <c r="AE9">
        <v>0</v>
      </c>
      <c r="AF9">
        <v>131.44</v>
      </c>
      <c r="AG9">
        <v>11.6</v>
      </c>
      <c r="AH9">
        <v>0</v>
      </c>
      <c r="AI9">
        <v>1</v>
      </c>
      <c r="AJ9">
        <v>12.5</v>
      </c>
      <c r="AK9">
        <v>18.3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3</v>
      </c>
      <c r="AT9">
        <v>0.23</v>
      </c>
      <c r="AU9" t="s">
        <v>19</v>
      </c>
      <c r="AV9">
        <v>0</v>
      </c>
      <c r="AW9">
        <v>2</v>
      </c>
      <c r="AX9">
        <v>34687742</v>
      </c>
      <c r="AY9">
        <v>1</v>
      </c>
      <c r="AZ9">
        <v>0</v>
      </c>
      <c r="BA9">
        <v>13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Y9*Source!I25</f>
        <v>0.13800000000000001</v>
      </c>
      <c r="CY9">
        <f>AB9</f>
        <v>1643</v>
      </c>
      <c r="CZ9">
        <f>AF9</f>
        <v>131.44</v>
      </c>
      <c r="DA9">
        <f>AJ9</f>
        <v>12.5</v>
      </c>
      <c r="DB9">
        <v>0</v>
      </c>
    </row>
    <row r="10" spans="1:106" x14ac:dyDescent="0.2">
      <c r="A10">
        <f>ROW(Source!A25)</f>
        <v>25</v>
      </c>
      <c r="B10">
        <v>34687671</v>
      </c>
      <c r="C10">
        <v>34687733</v>
      </c>
      <c r="D10">
        <v>31528142</v>
      </c>
      <c r="E10">
        <v>1</v>
      </c>
      <c r="F10">
        <v>1</v>
      </c>
      <c r="G10">
        <v>1</v>
      </c>
      <c r="H10">
        <v>2</v>
      </c>
      <c r="I10" t="s">
        <v>200</v>
      </c>
      <c r="J10" t="s">
        <v>201</v>
      </c>
      <c r="K10" t="s">
        <v>202</v>
      </c>
      <c r="L10">
        <v>1368</v>
      </c>
      <c r="N10">
        <v>1011</v>
      </c>
      <c r="O10" t="s">
        <v>196</v>
      </c>
      <c r="P10" t="s">
        <v>196</v>
      </c>
      <c r="Q10">
        <v>1</v>
      </c>
      <c r="W10">
        <v>0</v>
      </c>
      <c r="X10">
        <v>1372534845</v>
      </c>
      <c r="Y10">
        <v>0.23399999999999999</v>
      </c>
      <c r="AA10">
        <v>0</v>
      </c>
      <c r="AB10">
        <v>821.38</v>
      </c>
      <c r="AC10">
        <v>212.28</v>
      </c>
      <c r="AD10">
        <v>0</v>
      </c>
      <c r="AE10">
        <v>0</v>
      </c>
      <c r="AF10">
        <v>65.709999999999994</v>
      </c>
      <c r="AG10">
        <v>11.6</v>
      </c>
      <c r="AH10">
        <v>0</v>
      </c>
      <c r="AI10">
        <v>1</v>
      </c>
      <c r="AJ10">
        <v>12.5</v>
      </c>
      <c r="AK10">
        <v>18.3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3</v>
      </c>
      <c r="AT10">
        <v>0.39</v>
      </c>
      <c r="AU10" t="s">
        <v>19</v>
      </c>
      <c r="AV10">
        <v>0</v>
      </c>
      <c r="AW10">
        <v>2</v>
      </c>
      <c r="AX10">
        <v>34687743</v>
      </c>
      <c r="AY10">
        <v>1</v>
      </c>
      <c r="AZ10">
        <v>0</v>
      </c>
      <c r="BA10">
        <v>14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Y10*Source!I25</f>
        <v>0.23399999999999999</v>
      </c>
      <c r="CY10">
        <f>AB10</f>
        <v>821.38</v>
      </c>
      <c r="CZ10">
        <f>AF10</f>
        <v>65.709999999999994</v>
      </c>
      <c r="DA10">
        <f>AJ10</f>
        <v>12.5</v>
      </c>
      <c r="DB10">
        <v>0</v>
      </c>
    </row>
    <row r="11" spans="1:106" x14ac:dyDescent="0.2">
      <c r="A11">
        <f>ROW(Source!A26)</f>
        <v>26</v>
      </c>
      <c r="B11">
        <v>34687670</v>
      </c>
      <c r="C11">
        <v>34687748</v>
      </c>
      <c r="D11">
        <v>32163326</v>
      </c>
      <c r="E11">
        <v>1</v>
      </c>
      <c r="F11">
        <v>1</v>
      </c>
      <c r="G11">
        <v>1</v>
      </c>
      <c r="H11">
        <v>1</v>
      </c>
      <c r="I11" t="s">
        <v>203</v>
      </c>
      <c r="J11" t="s">
        <v>3</v>
      </c>
      <c r="K11" t="s">
        <v>204</v>
      </c>
      <c r="L11">
        <v>1191</v>
      </c>
      <c r="N11">
        <v>1013</v>
      </c>
      <c r="O11" t="s">
        <v>190</v>
      </c>
      <c r="P11" t="s">
        <v>190</v>
      </c>
      <c r="Q11">
        <v>1</v>
      </c>
      <c r="W11">
        <v>0</v>
      </c>
      <c r="X11">
        <v>-1309109184</v>
      </c>
      <c r="Y11">
        <v>5.4</v>
      </c>
      <c r="AA11">
        <v>0</v>
      </c>
      <c r="AB11">
        <v>0</v>
      </c>
      <c r="AC11">
        <v>0</v>
      </c>
      <c r="AD11">
        <v>9.17</v>
      </c>
      <c r="AE11">
        <v>0</v>
      </c>
      <c r="AF11">
        <v>0</v>
      </c>
      <c r="AG11">
        <v>0</v>
      </c>
      <c r="AH11">
        <v>9.17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5.4</v>
      </c>
      <c r="AU11" t="s">
        <v>3</v>
      </c>
      <c r="AV11">
        <v>1</v>
      </c>
      <c r="AW11">
        <v>2</v>
      </c>
      <c r="AX11">
        <v>34687751</v>
      </c>
      <c r="AY11">
        <v>1</v>
      </c>
      <c r="AZ11">
        <v>0</v>
      </c>
      <c r="BA11">
        <v>19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Y11*Source!I26</f>
        <v>5.4</v>
      </c>
      <c r="CY11">
        <f t="shared" ref="CY11:CY16" si="0">AD11</f>
        <v>9.17</v>
      </c>
      <c r="CZ11">
        <f t="shared" ref="CZ11:CZ16" si="1">AH11</f>
        <v>9.17</v>
      </c>
      <c r="DA11">
        <f t="shared" ref="DA11:DA16" si="2">AL11</f>
        <v>1</v>
      </c>
      <c r="DB11">
        <v>0</v>
      </c>
    </row>
    <row r="12" spans="1:106" x14ac:dyDescent="0.2">
      <c r="A12">
        <f>ROW(Source!A26)</f>
        <v>26</v>
      </c>
      <c r="B12">
        <v>34687670</v>
      </c>
      <c r="C12">
        <v>34687748</v>
      </c>
      <c r="D12">
        <v>32163380</v>
      </c>
      <c r="E12">
        <v>1</v>
      </c>
      <c r="F12">
        <v>1</v>
      </c>
      <c r="G12">
        <v>1</v>
      </c>
      <c r="H12">
        <v>1</v>
      </c>
      <c r="I12" t="s">
        <v>205</v>
      </c>
      <c r="J12" t="s">
        <v>3</v>
      </c>
      <c r="K12" t="s">
        <v>206</v>
      </c>
      <c r="L12">
        <v>1191</v>
      </c>
      <c r="N12">
        <v>1013</v>
      </c>
      <c r="O12" t="s">
        <v>190</v>
      </c>
      <c r="P12" t="s">
        <v>190</v>
      </c>
      <c r="Q12">
        <v>1</v>
      </c>
      <c r="W12">
        <v>0</v>
      </c>
      <c r="X12">
        <v>1818203118</v>
      </c>
      <c r="Y12">
        <v>12.6</v>
      </c>
      <c r="AA12">
        <v>0</v>
      </c>
      <c r="AB12">
        <v>0</v>
      </c>
      <c r="AC12">
        <v>0</v>
      </c>
      <c r="AD12">
        <v>14.09</v>
      </c>
      <c r="AE12">
        <v>0</v>
      </c>
      <c r="AF12">
        <v>0</v>
      </c>
      <c r="AG12">
        <v>0</v>
      </c>
      <c r="AH12">
        <v>14.09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12.6</v>
      </c>
      <c r="AU12" t="s">
        <v>3</v>
      </c>
      <c r="AV12">
        <v>1</v>
      </c>
      <c r="AW12">
        <v>2</v>
      </c>
      <c r="AX12">
        <v>34687752</v>
      </c>
      <c r="AY12">
        <v>1</v>
      </c>
      <c r="AZ12">
        <v>0</v>
      </c>
      <c r="BA12">
        <v>20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Y12*Source!I26</f>
        <v>12.6</v>
      </c>
      <c r="CY12">
        <f t="shared" si="0"/>
        <v>14.09</v>
      </c>
      <c r="CZ12">
        <f t="shared" si="1"/>
        <v>14.09</v>
      </c>
      <c r="DA12">
        <f t="shared" si="2"/>
        <v>1</v>
      </c>
      <c r="DB12">
        <v>0</v>
      </c>
    </row>
    <row r="13" spans="1:106" x14ac:dyDescent="0.2">
      <c r="A13">
        <f>ROW(Source!A27)</f>
        <v>27</v>
      </c>
      <c r="B13">
        <v>34687671</v>
      </c>
      <c r="C13">
        <v>34687748</v>
      </c>
      <c r="D13">
        <v>32163326</v>
      </c>
      <c r="E13">
        <v>1</v>
      </c>
      <c r="F13">
        <v>1</v>
      </c>
      <c r="G13">
        <v>1</v>
      </c>
      <c r="H13">
        <v>1</v>
      </c>
      <c r="I13" t="s">
        <v>203</v>
      </c>
      <c r="J13" t="s">
        <v>3</v>
      </c>
      <c r="K13" t="s">
        <v>204</v>
      </c>
      <c r="L13">
        <v>1191</v>
      </c>
      <c r="N13">
        <v>1013</v>
      </c>
      <c r="O13" t="s">
        <v>190</v>
      </c>
      <c r="P13" t="s">
        <v>190</v>
      </c>
      <c r="Q13">
        <v>1</v>
      </c>
      <c r="W13">
        <v>0</v>
      </c>
      <c r="X13">
        <v>-1309109184</v>
      </c>
      <c r="Y13">
        <v>5.4</v>
      </c>
      <c r="AA13">
        <v>0</v>
      </c>
      <c r="AB13">
        <v>0</v>
      </c>
      <c r="AC13">
        <v>0</v>
      </c>
      <c r="AD13">
        <v>167.81</v>
      </c>
      <c r="AE13">
        <v>0</v>
      </c>
      <c r="AF13">
        <v>0</v>
      </c>
      <c r="AG13">
        <v>0</v>
      </c>
      <c r="AH13">
        <v>9.17</v>
      </c>
      <c r="AI13">
        <v>1</v>
      </c>
      <c r="AJ13">
        <v>1</v>
      </c>
      <c r="AK13">
        <v>1</v>
      </c>
      <c r="AL13">
        <v>18.3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5.4</v>
      </c>
      <c r="AU13" t="s">
        <v>3</v>
      </c>
      <c r="AV13">
        <v>1</v>
      </c>
      <c r="AW13">
        <v>2</v>
      </c>
      <c r="AX13">
        <v>34687751</v>
      </c>
      <c r="AY13">
        <v>1</v>
      </c>
      <c r="AZ13">
        <v>0</v>
      </c>
      <c r="BA13">
        <v>21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Y13*Source!I27</f>
        <v>5.4</v>
      </c>
      <c r="CY13">
        <f t="shared" si="0"/>
        <v>167.81</v>
      </c>
      <c r="CZ13">
        <f t="shared" si="1"/>
        <v>9.17</v>
      </c>
      <c r="DA13">
        <f t="shared" si="2"/>
        <v>18.3</v>
      </c>
      <c r="DB13">
        <v>0</v>
      </c>
    </row>
    <row r="14" spans="1:106" x14ac:dyDescent="0.2">
      <c r="A14">
        <f>ROW(Source!A27)</f>
        <v>27</v>
      </c>
      <c r="B14">
        <v>34687671</v>
      </c>
      <c r="C14">
        <v>34687748</v>
      </c>
      <c r="D14">
        <v>32163380</v>
      </c>
      <c r="E14">
        <v>1</v>
      </c>
      <c r="F14">
        <v>1</v>
      </c>
      <c r="G14">
        <v>1</v>
      </c>
      <c r="H14">
        <v>1</v>
      </c>
      <c r="I14" t="s">
        <v>205</v>
      </c>
      <c r="J14" t="s">
        <v>3</v>
      </c>
      <c r="K14" t="s">
        <v>206</v>
      </c>
      <c r="L14">
        <v>1191</v>
      </c>
      <c r="N14">
        <v>1013</v>
      </c>
      <c r="O14" t="s">
        <v>190</v>
      </c>
      <c r="P14" t="s">
        <v>190</v>
      </c>
      <c r="Q14">
        <v>1</v>
      </c>
      <c r="W14">
        <v>0</v>
      </c>
      <c r="X14">
        <v>1818203118</v>
      </c>
      <c r="Y14">
        <v>12.6</v>
      </c>
      <c r="AA14">
        <v>0</v>
      </c>
      <c r="AB14">
        <v>0</v>
      </c>
      <c r="AC14">
        <v>0</v>
      </c>
      <c r="AD14">
        <v>257.85000000000002</v>
      </c>
      <c r="AE14">
        <v>0</v>
      </c>
      <c r="AF14">
        <v>0</v>
      </c>
      <c r="AG14">
        <v>0</v>
      </c>
      <c r="AH14">
        <v>14.09</v>
      </c>
      <c r="AI14">
        <v>1</v>
      </c>
      <c r="AJ14">
        <v>1</v>
      </c>
      <c r="AK14">
        <v>1</v>
      </c>
      <c r="AL14">
        <v>18.3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12.6</v>
      </c>
      <c r="AU14" t="s">
        <v>3</v>
      </c>
      <c r="AV14">
        <v>1</v>
      </c>
      <c r="AW14">
        <v>2</v>
      </c>
      <c r="AX14">
        <v>34687752</v>
      </c>
      <c r="AY14">
        <v>1</v>
      </c>
      <c r="AZ14">
        <v>0</v>
      </c>
      <c r="BA14">
        <v>22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Y14*Source!I27</f>
        <v>12.6</v>
      </c>
      <c r="CY14">
        <f t="shared" si="0"/>
        <v>257.85000000000002</v>
      </c>
      <c r="CZ14">
        <f t="shared" si="1"/>
        <v>14.09</v>
      </c>
      <c r="DA14">
        <f t="shared" si="2"/>
        <v>18.3</v>
      </c>
      <c r="DB14">
        <v>0</v>
      </c>
    </row>
    <row r="15" spans="1:106" x14ac:dyDescent="0.2">
      <c r="A15">
        <f>ROW(Source!A28)</f>
        <v>28</v>
      </c>
      <c r="B15">
        <v>34687670</v>
      </c>
      <c r="C15">
        <v>34687753</v>
      </c>
      <c r="D15">
        <v>31715651</v>
      </c>
      <c r="E15">
        <v>1</v>
      </c>
      <c r="F15">
        <v>1</v>
      </c>
      <c r="G15">
        <v>1</v>
      </c>
      <c r="H15">
        <v>1</v>
      </c>
      <c r="I15" t="s">
        <v>188</v>
      </c>
      <c r="J15" t="s">
        <v>3</v>
      </c>
      <c r="K15" t="s">
        <v>189</v>
      </c>
      <c r="L15">
        <v>1191</v>
      </c>
      <c r="N15">
        <v>1013</v>
      </c>
      <c r="O15" t="s">
        <v>190</v>
      </c>
      <c r="P15" t="s">
        <v>190</v>
      </c>
      <c r="Q15">
        <v>1</v>
      </c>
      <c r="W15">
        <v>0</v>
      </c>
      <c r="X15">
        <v>1069510174</v>
      </c>
      <c r="Y15">
        <v>12.4</v>
      </c>
      <c r="AA15">
        <v>0</v>
      </c>
      <c r="AB15">
        <v>0</v>
      </c>
      <c r="AC15">
        <v>0</v>
      </c>
      <c r="AD15">
        <v>9.6199999999999992</v>
      </c>
      <c r="AE15">
        <v>0</v>
      </c>
      <c r="AF15">
        <v>0</v>
      </c>
      <c r="AG15">
        <v>0</v>
      </c>
      <c r="AH15">
        <v>9.6199999999999992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12.4</v>
      </c>
      <c r="AU15" t="s">
        <v>3</v>
      </c>
      <c r="AV15">
        <v>1</v>
      </c>
      <c r="AW15">
        <v>2</v>
      </c>
      <c r="AX15">
        <v>34687759</v>
      </c>
      <c r="AY15">
        <v>1</v>
      </c>
      <c r="AZ15">
        <v>0</v>
      </c>
      <c r="BA15">
        <v>23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Y15*Source!I28</f>
        <v>12.4</v>
      </c>
      <c r="CY15">
        <f t="shared" si="0"/>
        <v>9.6199999999999992</v>
      </c>
      <c r="CZ15">
        <f t="shared" si="1"/>
        <v>9.6199999999999992</v>
      </c>
      <c r="DA15">
        <f t="shared" si="2"/>
        <v>1</v>
      </c>
      <c r="DB15">
        <v>0</v>
      </c>
    </row>
    <row r="16" spans="1:106" x14ac:dyDescent="0.2">
      <c r="A16">
        <f>ROW(Source!A28)</f>
        <v>28</v>
      </c>
      <c r="B16">
        <v>34687670</v>
      </c>
      <c r="C16">
        <v>34687753</v>
      </c>
      <c r="D16">
        <v>31709492</v>
      </c>
      <c r="E16">
        <v>1</v>
      </c>
      <c r="F16">
        <v>1</v>
      </c>
      <c r="G16">
        <v>1</v>
      </c>
      <c r="H16">
        <v>1</v>
      </c>
      <c r="I16" t="s">
        <v>191</v>
      </c>
      <c r="J16" t="s">
        <v>3</v>
      </c>
      <c r="K16" t="s">
        <v>192</v>
      </c>
      <c r="L16">
        <v>1191</v>
      </c>
      <c r="N16">
        <v>1013</v>
      </c>
      <c r="O16" t="s">
        <v>190</v>
      </c>
      <c r="P16" t="s">
        <v>190</v>
      </c>
      <c r="Q16">
        <v>1</v>
      </c>
      <c r="W16">
        <v>0</v>
      </c>
      <c r="X16">
        <v>-1417349443</v>
      </c>
      <c r="Y16">
        <v>0.41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0.41</v>
      </c>
      <c r="AU16" t="s">
        <v>3</v>
      </c>
      <c r="AV16">
        <v>2</v>
      </c>
      <c r="AW16">
        <v>2</v>
      </c>
      <c r="AX16">
        <v>34687760</v>
      </c>
      <c r="AY16">
        <v>1</v>
      </c>
      <c r="AZ16">
        <v>0</v>
      </c>
      <c r="BA16">
        <v>24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Y16*Source!I28</f>
        <v>0.41</v>
      </c>
      <c r="CY16">
        <f t="shared" si="0"/>
        <v>0</v>
      </c>
      <c r="CZ16">
        <f t="shared" si="1"/>
        <v>0</v>
      </c>
      <c r="DA16">
        <f t="shared" si="2"/>
        <v>1</v>
      </c>
      <c r="DB16">
        <v>0</v>
      </c>
    </row>
    <row r="17" spans="1:106" x14ac:dyDescent="0.2">
      <c r="A17">
        <f>ROW(Source!A28)</f>
        <v>28</v>
      </c>
      <c r="B17">
        <v>34687670</v>
      </c>
      <c r="C17">
        <v>34687753</v>
      </c>
      <c r="D17">
        <v>31526753</v>
      </c>
      <c r="E17">
        <v>1</v>
      </c>
      <c r="F17">
        <v>1</v>
      </c>
      <c r="G17">
        <v>1</v>
      </c>
      <c r="H17">
        <v>2</v>
      </c>
      <c r="I17" t="s">
        <v>193</v>
      </c>
      <c r="J17" t="s">
        <v>194</v>
      </c>
      <c r="K17" t="s">
        <v>195</v>
      </c>
      <c r="L17">
        <v>1368</v>
      </c>
      <c r="N17">
        <v>1011</v>
      </c>
      <c r="O17" t="s">
        <v>196</v>
      </c>
      <c r="P17" t="s">
        <v>196</v>
      </c>
      <c r="Q17">
        <v>1</v>
      </c>
      <c r="W17">
        <v>0</v>
      </c>
      <c r="X17">
        <v>-1718674368</v>
      </c>
      <c r="Y17">
        <v>0.13</v>
      </c>
      <c r="AA17">
        <v>0</v>
      </c>
      <c r="AB17">
        <v>111.99</v>
      </c>
      <c r="AC17">
        <v>13.5</v>
      </c>
      <c r="AD17">
        <v>0</v>
      </c>
      <c r="AE17">
        <v>0</v>
      </c>
      <c r="AF17">
        <v>111.99</v>
      </c>
      <c r="AG17">
        <v>13.5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0.13</v>
      </c>
      <c r="AU17" t="s">
        <v>3</v>
      </c>
      <c r="AV17">
        <v>0</v>
      </c>
      <c r="AW17">
        <v>2</v>
      </c>
      <c r="AX17">
        <v>34687761</v>
      </c>
      <c r="AY17">
        <v>1</v>
      </c>
      <c r="AZ17">
        <v>0</v>
      </c>
      <c r="BA17">
        <v>25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Y17*Source!I28</f>
        <v>0.13</v>
      </c>
      <c r="CY17">
        <f>AB17</f>
        <v>111.99</v>
      </c>
      <c r="CZ17">
        <f>AF17</f>
        <v>111.99</v>
      </c>
      <c r="DA17">
        <f>AJ17</f>
        <v>1</v>
      </c>
      <c r="DB17">
        <v>0</v>
      </c>
    </row>
    <row r="18" spans="1:106" x14ac:dyDescent="0.2">
      <c r="A18">
        <f>ROW(Source!A28)</f>
        <v>28</v>
      </c>
      <c r="B18">
        <v>34687670</v>
      </c>
      <c r="C18">
        <v>34687753</v>
      </c>
      <c r="D18">
        <v>31526949</v>
      </c>
      <c r="E18">
        <v>1</v>
      </c>
      <c r="F18">
        <v>1</v>
      </c>
      <c r="G18">
        <v>1</v>
      </c>
      <c r="H18">
        <v>2</v>
      </c>
      <c r="I18" t="s">
        <v>197</v>
      </c>
      <c r="J18" t="s">
        <v>198</v>
      </c>
      <c r="K18" t="s">
        <v>199</v>
      </c>
      <c r="L18">
        <v>1368</v>
      </c>
      <c r="N18">
        <v>1011</v>
      </c>
      <c r="O18" t="s">
        <v>196</v>
      </c>
      <c r="P18" t="s">
        <v>196</v>
      </c>
      <c r="Q18">
        <v>1</v>
      </c>
      <c r="W18">
        <v>0</v>
      </c>
      <c r="X18">
        <v>-132295295</v>
      </c>
      <c r="Y18">
        <v>0.15</v>
      </c>
      <c r="AA18">
        <v>0</v>
      </c>
      <c r="AB18">
        <v>131.44</v>
      </c>
      <c r="AC18">
        <v>11.6</v>
      </c>
      <c r="AD18">
        <v>0</v>
      </c>
      <c r="AE18">
        <v>0</v>
      </c>
      <c r="AF18">
        <v>131.44</v>
      </c>
      <c r="AG18">
        <v>11.6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0.15</v>
      </c>
      <c r="AU18" t="s">
        <v>3</v>
      </c>
      <c r="AV18">
        <v>0</v>
      </c>
      <c r="AW18">
        <v>2</v>
      </c>
      <c r="AX18">
        <v>34687762</v>
      </c>
      <c r="AY18">
        <v>1</v>
      </c>
      <c r="AZ18">
        <v>0</v>
      </c>
      <c r="BA18">
        <v>26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Y18*Source!I28</f>
        <v>0.15</v>
      </c>
      <c r="CY18">
        <f>AB18</f>
        <v>131.44</v>
      </c>
      <c r="CZ18">
        <f>AF18</f>
        <v>131.44</v>
      </c>
      <c r="DA18">
        <f>AJ18</f>
        <v>1</v>
      </c>
      <c r="DB18">
        <v>0</v>
      </c>
    </row>
    <row r="19" spans="1:106" x14ac:dyDescent="0.2">
      <c r="A19">
        <f>ROW(Source!A28)</f>
        <v>28</v>
      </c>
      <c r="B19">
        <v>34687670</v>
      </c>
      <c r="C19">
        <v>34687753</v>
      </c>
      <c r="D19">
        <v>31528142</v>
      </c>
      <c r="E19">
        <v>1</v>
      </c>
      <c r="F19">
        <v>1</v>
      </c>
      <c r="G19">
        <v>1</v>
      </c>
      <c r="H19">
        <v>2</v>
      </c>
      <c r="I19" t="s">
        <v>200</v>
      </c>
      <c r="J19" t="s">
        <v>201</v>
      </c>
      <c r="K19" t="s">
        <v>202</v>
      </c>
      <c r="L19">
        <v>1368</v>
      </c>
      <c r="N19">
        <v>1011</v>
      </c>
      <c r="O19" t="s">
        <v>196</v>
      </c>
      <c r="P19" t="s">
        <v>196</v>
      </c>
      <c r="Q19">
        <v>1</v>
      </c>
      <c r="W19">
        <v>0</v>
      </c>
      <c r="X19">
        <v>1372534845</v>
      </c>
      <c r="Y19">
        <v>0.13</v>
      </c>
      <c r="AA19">
        <v>0</v>
      </c>
      <c r="AB19">
        <v>65.709999999999994</v>
      </c>
      <c r="AC19">
        <v>11.6</v>
      </c>
      <c r="AD19">
        <v>0</v>
      </c>
      <c r="AE19">
        <v>0</v>
      </c>
      <c r="AF19">
        <v>65.709999999999994</v>
      </c>
      <c r="AG19">
        <v>11.6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0.13</v>
      </c>
      <c r="AU19" t="s">
        <v>3</v>
      </c>
      <c r="AV19">
        <v>0</v>
      </c>
      <c r="AW19">
        <v>2</v>
      </c>
      <c r="AX19">
        <v>34687763</v>
      </c>
      <c r="AY19">
        <v>1</v>
      </c>
      <c r="AZ19">
        <v>0</v>
      </c>
      <c r="BA19">
        <v>27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Y19*Source!I28</f>
        <v>0.13</v>
      </c>
      <c r="CY19">
        <f>AB19</f>
        <v>65.709999999999994</v>
      </c>
      <c r="CZ19">
        <f>AF19</f>
        <v>65.709999999999994</v>
      </c>
      <c r="DA19">
        <f>AJ19</f>
        <v>1</v>
      </c>
      <c r="DB19">
        <v>0</v>
      </c>
    </row>
    <row r="20" spans="1:106" x14ac:dyDescent="0.2">
      <c r="A20">
        <f>ROW(Source!A29)</f>
        <v>29</v>
      </c>
      <c r="B20">
        <v>34687671</v>
      </c>
      <c r="C20">
        <v>34687753</v>
      </c>
      <c r="D20">
        <v>31715651</v>
      </c>
      <c r="E20">
        <v>1</v>
      </c>
      <c r="F20">
        <v>1</v>
      </c>
      <c r="G20">
        <v>1</v>
      </c>
      <c r="H20">
        <v>1</v>
      </c>
      <c r="I20" t="s">
        <v>188</v>
      </c>
      <c r="J20" t="s">
        <v>3</v>
      </c>
      <c r="K20" t="s">
        <v>189</v>
      </c>
      <c r="L20">
        <v>1191</v>
      </c>
      <c r="N20">
        <v>1013</v>
      </c>
      <c r="O20" t="s">
        <v>190</v>
      </c>
      <c r="P20" t="s">
        <v>190</v>
      </c>
      <c r="Q20">
        <v>1</v>
      </c>
      <c r="W20">
        <v>0</v>
      </c>
      <c r="X20">
        <v>1069510174</v>
      </c>
      <c r="Y20">
        <v>12.4</v>
      </c>
      <c r="AA20">
        <v>0</v>
      </c>
      <c r="AB20">
        <v>0</v>
      </c>
      <c r="AC20">
        <v>0</v>
      </c>
      <c r="AD20">
        <v>176.05</v>
      </c>
      <c r="AE20">
        <v>0</v>
      </c>
      <c r="AF20">
        <v>0</v>
      </c>
      <c r="AG20">
        <v>0</v>
      </c>
      <c r="AH20">
        <v>9.6199999999999992</v>
      </c>
      <c r="AI20">
        <v>1</v>
      </c>
      <c r="AJ20">
        <v>1</v>
      </c>
      <c r="AK20">
        <v>1</v>
      </c>
      <c r="AL20">
        <v>18.3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12.4</v>
      </c>
      <c r="AU20" t="s">
        <v>3</v>
      </c>
      <c r="AV20">
        <v>1</v>
      </c>
      <c r="AW20">
        <v>2</v>
      </c>
      <c r="AX20">
        <v>34687759</v>
      </c>
      <c r="AY20">
        <v>1</v>
      </c>
      <c r="AZ20">
        <v>0</v>
      </c>
      <c r="BA20">
        <v>33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Y20*Source!I29</f>
        <v>12.4</v>
      </c>
      <c r="CY20">
        <f>AD20</f>
        <v>176.05</v>
      </c>
      <c r="CZ20">
        <f>AH20</f>
        <v>9.6199999999999992</v>
      </c>
      <c r="DA20">
        <f>AL20</f>
        <v>18.3</v>
      </c>
      <c r="DB20">
        <v>0</v>
      </c>
    </row>
    <row r="21" spans="1:106" x14ac:dyDescent="0.2">
      <c r="A21">
        <f>ROW(Source!A29)</f>
        <v>29</v>
      </c>
      <c r="B21">
        <v>34687671</v>
      </c>
      <c r="C21">
        <v>34687753</v>
      </c>
      <c r="D21">
        <v>31709492</v>
      </c>
      <c r="E21">
        <v>1</v>
      </c>
      <c r="F21">
        <v>1</v>
      </c>
      <c r="G21">
        <v>1</v>
      </c>
      <c r="H21">
        <v>1</v>
      </c>
      <c r="I21" t="s">
        <v>191</v>
      </c>
      <c r="J21" t="s">
        <v>3</v>
      </c>
      <c r="K21" t="s">
        <v>192</v>
      </c>
      <c r="L21">
        <v>1191</v>
      </c>
      <c r="N21">
        <v>1013</v>
      </c>
      <c r="O21" t="s">
        <v>190</v>
      </c>
      <c r="P21" t="s">
        <v>190</v>
      </c>
      <c r="Q21">
        <v>1</v>
      </c>
      <c r="W21">
        <v>0</v>
      </c>
      <c r="X21">
        <v>-1417349443</v>
      </c>
      <c r="Y21">
        <v>0.41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18.3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0.41</v>
      </c>
      <c r="AU21" t="s">
        <v>3</v>
      </c>
      <c r="AV21">
        <v>2</v>
      </c>
      <c r="AW21">
        <v>2</v>
      </c>
      <c r="AX21">
        <v>34687760</v>
      </c>
      <c r="AY21">
        <v>1</v>
      </c>
      <c r="AZ21">
        <v>0</v>
      </c>
      <c r="BA21">
        <v>34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Y21*Source!I29</f>
        <v>0.41</v>
      </c>
      <c r="CY21">
        <f>AD21</f>
        <v>0</v>
      </c>
      <c r="CZ21">
        <f>AH21</f>
        <v>0</v>
      </c>
      <c r="DA21">
        <f>AL21</f>
        <v>1</v>
      </c>
      <c r="DB21">
        <v>0</v>
      </c>
    </row>
    <row r="22" spans="1:106" x14ac:dyDescent="0.2">
      <c r="A22">
        <f>ROW(Source!A29)</f>
        <v>29</v>
      </c>
      <c r="B22">
        <v>34687671</v>
      </c>
      <c r="C22">
        <v>34687753</v>
      </c>
      <c r="D22">
        <v>31526753</v>
      </c>
      <c r="E22">
        <v>1</v>
      </c>
      <c r="F22">
        <v>1</v>
      </c>
      <c r="G22">
        <v>1</v>
      </c>
      <c r="H22">
        <v>2</v>
      </c>
      <c r="I22" t="s">
        <v>193</v>
      </c>
      <c r="J22" t="s">
        <v>194</v>
      </c>
      <c r="K22" t="s">
        <v>195</v>
      </c>
      <c r="L22">
        <v>1368</v>
      </c>
      <c r="N22">
        <v>1011</v>
      </c>
      <c r="O22" t="s">
        <v>196</v>
      </c>
      <c r="P22" t="s">
        <v>196</v>
      </c>
      <c r="Q22">
        <v>1</v>
      </c>
      <c r="W22">
        <v>0</v>
      </c>
      <c r="X22">
        <v>-1718674368</v>
      </c>
      <c r="Y22">
        <v>0.13</v>
      </c>
      <c r="AA22">
        <v>0</v>
      </c>
      <c r="AB22">
        <v>1399.88</v>
      </c>
      <c r="AC22">
        <v>247.05</v>
      </c>
      <c r="AD22">
        <v>0</v>
      </c>
      <c r="AE22">
        <v>0</v>
      </c>
      <c r="AF22">
        <v>111.99</v>
      </c>
      <c r="AG22">
        <v>13.5</v>
      </c>
      <c r="AH22">
        <v>0</v>
      </c>
      <c r="AI22">
        <v>1</v>
      </c>
      <c r="AJ22">
        <v>12.5</v>
      </c>
      <c r="AK22">
        <v>18.3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0.13</v>
      </c>
      <c r="AU22" t="s">
        <v>3</v>
      </c>
      <c r="AV22">
        <v>0</v>
      </c>
      <c r="AW22">
        <v>2</v>
      </c>
      <c r="AX22">
        <v>34687761</v>
      </c>
      <c r="AY22">
        <v>1</v>
      </c>
      <c r="AZ22">
        <v>0</v>
      </c>
      <c r="BA22">
        <v>35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Y22*Source!I29</f>
        <v>0.13</v>
      </c>
      <c r="CY22">
        <f>AB22</f>
        <v>1399.88</v>
      </c>
      <c r="CZ22">
        <f>AF22</f>
        <v>111.99</v>
      </c>
      <c r="DA22">
        <f>AJ22</f>
        <v>12.5</v>
      </c>
      <c r="DB22">
        <v>0</v>
      </c>
    </row>
    <row r="23" spans="1:106" x14ac:dyDescent="0.2">
      <c r="A23">
        <f>ROW(Source!A29)</f>
        <v>29</v>
      </c>
      <c r="B23">
        <v>34687671</v>
      </c>
      <c r="C23">
        <v>34687753</v>
      </c>
      <c r="D23">
        <v>31526949</v>
      </c>
      <c r="E23">
        <v>1</v>
      </c>
      <c r="F23">
        <v>1</v>
      </c>
      <c r="G23">
        <v>1</v>
      </c>
      <c r="H23">
        <v>2</v>
      </c>
      <c r="I23" t="s">
        <v>197</v>
      </c>
      <c r="J23" t="s">
        <v>198</v>
      </c>
      <c r="K23" t="s">
        <v>199</v>
      </c>
      <c r="L23">
        <v>1368</v>
      </c>
      <c r="N23">
        <v>1011</v>
      </c>
      <c r="O23" t="s">
        <v>196</v>
      </c>
      <c r="P23" t="s">
        <v>196</v>
      </c>
      <c r="Q23">
        <v>1</v>
      </c>
      <c r="W23">
        <v>0</v>
      </c>
      <c r="X23">
        <v>-132295295</v>
      </c>
      <c r="Y23">
        <v>0.15</v>
      </c>
      <c r="AA23">
        <v>0</v>
      </c>
      <c r="AB23">
        <v>1643</v>
      </c>
      <c r="AC23">
        <v>212.28</v>
      </c>
      <c r="AD23">
        <v>0</v>
      </c>
      <c r="AE23">
        <v>0</v>
      </c>
      <c r="AF23">
        <v>131.44</v>
      </c>
      <c r="AG23">
        <v>11.6</v>
      </c>
      <c r="AH23">
        <v>0</v>
      </c>
      <c r="AI23">
        <v>1</v>
      </c>
      <c r="AJ23">
        <v>12.5</v>
      </c>
      <c r="AK23">
        <v>18.3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0.15</v>
      </c>
      <c r="AU23" t="s">
        <v>3</v>
      </c>
      <c r="AV23">
        <v>0</v>
      </c>
      <c r="AW23">
        <v>2</v>
      </c>
      <c r="AX23">
        <v>34687762</v>
      </c>
      <c r="AY23">
        <v>1</v>
      </c>
      <c r="AZ23">
        <v>0</v>
      </c>
      <c r="BA23">
        <v>36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Y23*Source!I29</f>
        <v>0.15</v>
      </c>
      <c r="CY23">
        <f>AB23</f>
        <v>1643</v>
      </c>
      <c r="CZ23">
        <f>AF23</f>
        <v>131.44</v>
      </c>
      <c r="DA23">
        <f>AJ23</f>
        <v>12.5</v>
      </c>
      <c r="DB23">
        <v>0</v>
      </c>
    </row>
    <row r="24" spans="1:106" x14ac:dyDescent="0.2">
      <c r="A24">
        <f>ROW(Source!A29)</f>
        <v>29</v>
      </c>
      <c r="B24">
        <v>34687671</v>
      </c>
      <c r="C24">
        <v>34687753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200</v>
      </c>
      <c r="J24" t="s">
        <v>201</v>
      </c>
      <c r="K24" t="s">
        <v>202</v>
      </c>
      <c r="L24">
        <v>1368</v>
      </c>
      <c r="N24">
        <v>1011</v>
      </c>
      <c r="O24" t="s">
        <v>196</v>
      </c>
      <c r="P24" t="s">
        <v>196</v>
      </c>
      <c r="Q24">
        <v>1</v>
      </c>
      <c r="W24">
        <v>0</v>
      </c>
      <c r="X24">
        <v>1372534845</v>
      </c>
      <c r="Y24">
        <v>0.13</v>
      </c>
      <c r="AA24">
        <v>0</v>
      </c>
      <c r="AB24">
        <v>821.38</v>
      </c>
      <c r="AC24">
        <v>212.28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12.5</v>
      </c>
      <c r="AK24">
        <v>18.3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0.13</v>
      </c>
      <c r="AU24" t="s">
        <v>3</v>
      </c>
      <c r="AV24">
        <v>0</v>
      </c>
      <c r="AW24">
        <v>2</v>
      </c>
      <c r="AX24">
        <v>34687763</v>
      </c>
      <c r="AY24">
        <v>1</v>
      </c>
      <c r="AZ24">
        <v>0</v>
      </c>
      <c r="BA24">
        <v>37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Y24*Source!I29</f>
        <v>0.13</v>
      </c>
      <c r="CY24">
        <f>AB24</f>
        <v>821.38</v>
      </c>
      <c r="CZ24">
        <f>AF24</f>
        <v>65.709999999999994</v>
      </c>
      <c r="DA24">
        <f>AJ24</f>
        <v>12.5</v>
      </c>
      <c r="DB2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34687739</v>
      </c>
      <c r="C1">
        <v>34687733</v>
      </c>
      <c r="D1">
        <v>31715651</v>
      </c>
      <c r="E1">
        <v>1</v>
      </c>
      <c r="F1">
        <v>1</v>
      </c>
      <c r="G1">
        <v>1</v>
      </c>
      <c r="H1">
        <v>1</v>
      </c>
      <c r="I1" t="s">
        <v>188</v>
      </c>
      <c r="J1" t="s">
        <v>3</v>
      </c>
      <c r="K1" t="s">
        <v>189</v>
      </c>
      <c r="L1">
        <v>1191</v>
      </c>
      <c r="N1">
        <v>1013</v>
      </c>
      <c r="O1" t="s">
        <v>190</v>
      </c>
      <c r="P1" t="s">
        <v>190</v>
      </c>
      <c r="Q1">
        <v>1</v>
      </c>
      <c r="X1">
        <v>7.95</v>
      </c>
      <c r="Y1">
        <v>0</v>
      </c>
      <c r="Z1">
        <v>0</v>
      </c>
      <c r="AA1">
        <v>0</v>
      </c>
      <c r="AB1">
        <v>9.6199999999999992</v>
      </c>
      <c r="AC1">
        <v>0</v>
      </c>
      <c r="AD1">
        <v>1</v>
      </c>
      <c r="AE1">
        <v>1</v>
      </c>
      <c r="AF1" t="s">
        <v>19</v>
      </c>
      <c r="AG1">
        <v>4.7699999999999996</v>
      </c>
      <c r="AH1">
        <v>2</v>
      </c>
      <c r="AI1">
        <v>34687734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34687740</v>
      </c>
      <c r="C2">
        <v>34687733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191</v>
      </c>
      <c r="J2" t="s">
        <v>3</v>
      </c>
      <c r="K2" t="s">
        <v>192</v>
      </c>
      <c r="L2">
        <v>1191</v>
      </c>
      <c r="N2">
        <v>1013</v>
      </c>
      <c r="O2" t="s">
        <v>190</v>
      </c>
      <c r="P2" t="s">
        <v>190</v>
      </c>
      <c r="Q2">
        <v>1</v>
      </c>
      <c r="X2">
        <v>1.01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19</v>
      </c>
      <c r="AG2">
        <v>0.60599999999999998</v>
      </c>
      <c r="AH2">
        <v>2</v>
      </c>
      <c r="AI2">
        <v>34687735</v>
      </c>
      <c r="AJ2">
        <v>2</v>
      </c>
      <c r="AK2">
        <v>2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34687741</v>
      </c>
      <c r="C3">
        <v>34687733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193</v>
      </c>
      <c r="J3" t="s">
        <v>194</v>
      </c>
      <c r="K3" t="s">
        <v>195</v>
      </c>
      <c r="L3">
        <v>1368</v>
      </c>
      <c r="N3">
        <v>1011</v>
      </c>
      <c r="O3" t="s">
        <v>196</v>
      </c>
      <c r="P3" t="s">
        <v>196</v>
      </c>
      <c r="Q3">
        <v>1</v>
      </c>
      <c r="X3">
        <v>0.39</v>
      </c>
      <c r="Y3">
        <v>0</v>
      </c>
      <c r="Z3">
        <v>111.99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19</v>
      </c>
      <c r="AG3">
        <v>0.23399999999999999</v>
      </c>
      <c r="AH3">
        <v>2</v>
      </c>
      <c r="AI3">
        <v>34687736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34687742</v>
      </c>
      <c r="C4">
        <v>34687733</v>
      </c>
      <c r="D4">
        <v>31526949</v>
      </c>
      <c r="E4">
        <v>1</v>
      </c>
      <c r="F4">
        <v>1</v>
      </c>
      <c r="G4">
        <v>1</v>
      </c>
      <c r="H4">
        <v>2</v>
      </c>
      <c r="I4" t="s">
        <v>197</v>
      </c>
      <c r="J4" t="s">
        <v>198</v>
      </c>
      <c r="K4" t="s">
        <v>199</v>
      </c>
      <c r="L4">
        <v>1368</v>
      </c>
      <c r="N4">
        <v>1011</v>
      </c>
      <c r="O4" t="s">
        <v>196</v>
      </c>
      <c r="P4" t="s">
        <v>196</v>
      </c>
      <c r="Q4">
        <v>1</v>
      </c>
      <c r="X4">
        <v>0.23</v>
      </c>
      <c r="Y4">
        <v>0</v>
      </c>
      <c r="Z4">
        <v>131.44</v>
      </c>
      <c r="AA4">
        <v>11.6</v>
      </c>
      <c r="AB4">
        <v>0</v>
      </c>
      <c r="AC4">
        <v>0</v>
      </c>
      <c r="AD4">
        <v>1</v>
      </c>
      <c r="AE4">
        <v>0</v>
      </c>
      <c r="AF4" t="s">
        <v>19</v>
      </c>
      <c r="AG4">
        <v>0.13800000000000001</v>
      </c>
      <c r="AH4">
        <v>2</v>
      </c>
      <c r="AI4">
        <v>34687737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ROW(Source!A24)</f>
        <v>24</v>
      </c>
      <c r="B5">
        <v>34687743</v>
      </c>
      <c r="C5">
        <v>34687733</v>
      </c>
      <c r="D5">
        <v>31528142</v>
      </c>
      <c r="E5">
        <v>1</v>
      </c>
      <c r="F5">
        <v>1</v>
      </c>
      <c r="G5">
        <v>1</v>
      </c>
      <c r="H5">
        <v>2</v>
      </c>
      <c r="I5" t="s">
        <v>200</v>
      </c>
      <c r="J5" t="s">
        <v>201</v>
      </c>
      <c r="K5" t="s">
        <v>202</v>
      </c>
      <c r="L5">
        <v>1368</v>
      </c>
      <c r="N5">
        <v>1011</v>
      </c>
      <c r="O5" t="s">
        <v>196</v>
      </c>
      <c r="P5" t="s">
        <v>196</v>
      </c>
      <c r="Q5">
        <v>1</v>
      </c>
      <c r="X5">
        <v>0.39</v>
      </c>
      <c r="Y5">
        <v>0</v>
      </c>
      <c r="Z5">
        <v>65.709999999999994</v>
      </c>
      <c r="AA5">
        <v>11.6</v>
      </c>
      <c r="AB5">
        <v>0</v>
      </c>
      <c r="AC5">
        <v>0</v>
      </c>
      <c r="AD5">
        <v>1</v>
      </c>
      <c r="AE5">
        <v>0</v>
      </c>
      <c r="AF5" t="s">
        <v>19</v>
      </c>
      <c r="AG5">
        <v>0.23399999999999999</v>
      </c>
      <c r="AH5">
        <v>2</v>
      </c>
      <c r="AI5">
        <v>34687738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ROW(Source!A24)</f>
        <v>24</v>
      </c>
      <c r="B6">
        <v>34687744</v>
      </c>
      <c r="C6">
        <v>34687733</v>
      </c>
      <c r="D6">
        <v>31449051</v>
      </c>
      <c r="E6">
        <v>1</v>
      </c>
      <c r="F6">
        <v>1</v>
      </c>
      <c r="G6">
        <v>1</v>
      </c>
      <c r="H6">
        <v>3</v>
      </c>
      <c r="I6" t="s">
        <v>207</v>
      </c>
      <c r="J6" t="s">
        <v>208</v>
      </c>
      <c r="K6" t="s">
        <v>209</v>
      </c>
      <c r="L6">
        <v>1346</v>
      </c>
      <c r="N6">
        <v>1009</v>
      </c>
      <c r="O6" t="s">
        <v>62</v>
      </c>
      <c r="P6" t="s">
        <v>62</v>
      </c>
      <c r="Q6">
        <v>1</v>
      </c>
      <c r="X6">
        <v>1.35</v>
      </c>
      <c r="Y6">
        <v>9.0399999999999991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18</v>
      </c>
      <c r="AG6">
        <v>0</v>
      </c>
      <c r="AH6">
        <v>3</v>
      </c>
      <c r="AI6">
        <v>-1</v>
      </c>
      <c r="AJ6" t="s">
        <v>3</v>
      </c>
      <c r="AK6">
        <v>4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ROW(Source!A24)</f>
        <v>24</v>
      </c>
      <c r="B7">
        <v>34687745</v>
      </c>
      <c r="C7">
        <v>34687733</v>
      </c>
      <c r="D7">
        <v>31449341</v>
      </c>
      <c r="E7">
        <v>1</v>
      </c>
      <c r="F7">
        <v>1</v>
      </c>
      <c r="G7">
        <v>1</v>
      </c>
      <c r="H7">
        <v>3</v>
      </c>
      <c r="I7" t="s">
        <v>210</v>
      </c>
      <c r="J7" t="s">
        <v>211</v>
      </c>
      <c r="K7" t="s">
        <v>212</v>
      </c>
      <c r="L7">
        <v>1355</v>
      </c>
      <c r="N7">
        <v>1010</v>
      </c>
      <c r="O7" t="s">
        <v>213</v>
      </c>
      <c r="P7" t="s">
        <v>213</v>
      </c>
      <c r="Q7">
        <v>100</v>
      </c>
      <c r="X7">
        <v>0.04</v>
      </c>
      <c r="Y7">
        <v>254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18</v>
      </c>
      <c r="AG7">
        <v>0</v>
      </c>
      <c r="AH7">
        <v>3</v>
      </c>
      <c r="AI7">
        <v>-1</v>
      </c>
      <c r="AJ7" t="s">
        <v>3</v>
      </c>
      <c r="AK7">
        <v>4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ROW(Source!A24)</f>
        <v>24</v>
      </c>
      <c r="B8">
        <v>34687746</v>
      </c>
      <c r="C8">
        <v>34687733</v>
      </c>
      <c r="D8">
        <v>31482923</v>
      </c>
      <c r="E8">
        <v>1</v>
      </c>
      <c r="F8">
        <v>1</v>
      </c>
      <c r="G8">
        <v>1</v>
      </c>
      <c r="H8">
        <v>3</v>
      </c>
      <c r="I8" t="s">
        <v>214</v>
      </c>
      <c r="J8" t="s">
        <v>215</v>
      </c>
      <c r="K8" t="s">
        <v>216</v>
      </c>
      <c r="L8">
        <v>1346</v>
      </c>
      <c r="N8">
        <v>1009</v>
      </c>
      <c r="O8" t="s">
        <v>62</v>
      </c>
      <c r="P8" t="s">
        <v>62</v>
      </c>
      <c r="Q8">
        <v>1</v>
      </c>
      <c r="X8">
        <v>0.17</v>
      </c>
      <c r="Y8">
        <v>28.6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18</v>
      </c>
      <c r="AG8">
        <v>0</v>
      </c>
      <c r="AH8">
        <v>3</v>
      </c>
      <c r="AI8">
        <v>-1</v>
      </c>
      <c r="AJ8" t="s">
        <v>3</v>
      </c>
      <c r="AK8">
        <v>4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ROW(Source!A24)</f>
        <v>24</v>
      </c>
      <c r="B9">
        <v>34687747</v>
      </c>
      <c r="C9">
        <v>34687733</v>
      </c>
      <c r="D9">
        <v>31443668</v>
      </c>
      <c r="E9">
        <v>17</v>
      </c>
      <c r="F9">
        <v>1</v>
      </c>
      <c r="G9">
        <v>1</v>
      </c>
      <c r="H9">
        <v>3</v>
      </c>
      <c r="I9" t="s">
        <v>217</v>
      </c>
      <c r="J9" t="s">
        <v>3</v>
      </c>
      <c r="K9" t="s">
        <v>218</v>
      </c>
      <c r="L9">
        <v>1374</v>
      </c>
      <c r="N9">
        <v>1013</v>
      </c>
      <c r="O9" t="s">
        <v>219</v>
      </c>
      <c r="P9" t="s">
        <v>219</v>
      </c>
      <c r="Q9">
        <v>1</v>
      </c>
      <c r="X9">
        <v>1.53</v>
      </c>
      <c r="Y9">
        <v>1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18</v>
      </c>
      <c r="AG9">
        <v>0</v>
      </c>
      <c r="AH9">
        <v>3</v>
      </c>
      <c r="AI9">
        <v>-1</v>
      </c>
      <c r="AJ9" t="s">
        <v>3</v>
      </c>
      <c r="AK9">
        <v>4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ROW(Source!A25)</f>
        <v>25</v>
      </c>
      <c r="B10">
        <v>34687739</v>
      </c>
      <c r="C10">
        <v>34687733</v>
      </c>
      <c r="D10">
        <v>31715651</v>
      </c>
      <c r="E10">
        <v>1</v>
      </c>
      <c r="F10">
        <v>1</v>
      </c>
      <c r="G10">
        <v>1</v>
      </c>
      <c r="H10">
        <v>1</v>
      </c>
      <c r="I10" t="s">
        <v>188</v>
      </c>
      <c r="J10" t="s">
        <v>3</v>
      </c>
      <c r="K10" t="s">
        <v>189</v>
      </c>
      <c r="L10">
        <v>1191</v>
      </c>
      <c r="N10">
        <v>1013</v>
      </c>
      <c r="O10" t="s">
        <v>190</v>
      </c>
      <c r="P10" t="s">
        <v>190</v>
      </c>
      <c r="Q10">
        <v>1</v>
      </c>
      <c r="X10">
        <v>7.95</v>
      </c>
      <c r="Y10">
        <v>0</v>
      </c>
      <c r="Z10">
        <v>0</v>
      </c>
      <c r="AA10">
        <v>0</v>
      </c>
      <c r="AB10">
        <v>9.6199999999999992</v>
      </c>
      <c r="AC10">
        <v>0</v>
      </c>
      <c r="AD10">
        <v>1</v>
      </c>
      <c r="AE10">
        <v>1</v>
      </c>
      <c r="AF10" t="s">
        <v>19</v>
      </c>
      <c r="AG10">
        <v>4.7699999999999996</v>
      </c>
      <c r="AH10">
        <v>2</v>
      </c>
      <c r="AI10">
        <v>34687734</v>
      </c>
      <c r="AJ10">
        <v>6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ROW(Source!A25)</f>
        <v>25</v>
      </c>
      <c r="B11">
        <v>34687740</v>
      </c>
      <c r="C11">
        <v>34687733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191</v>
      </c>
      <c r="J11" t="s">
        <v>3</v>
      </c>
      <c r="K11" t="s">
        <v>192</v>
      </c>
      <c r="L11">
        <v>1191</v>
      </c>
      <c r="N11">
        <v>1013</v>
      </c>
      <c r="O11" t="s">
        <v>190</v>
      </c>
      <c r="P11" t="s">
        <v>190</v>
      </c>
      <c r="Q11">
        <v>1</v>
      </c>
      <c r="X11">
        <v>1.01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2</v>
      </c>
      <c r="AF11" t="s">
        <v>19</v>
      </c>
      <c r="AG11">
        <v>0.60599999999999998</v>
      </c>
      <c r="AH11">
        <v>2</v>
      </c>
      <c r="AI11">
        <v>34687735</v>
      </c>
      <c r="AJ11">
        <v>7</v>
      </c>
      <c r="AK11">
        <v>2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ROW(Source!A25)</f>
        <v>25</v>
      </c>
      <c r="B12">
        <v>34687741</v>
      </c>
      <c r="C12">
        <v>34687733</v>
      </c>
      <c r="D12">
        <v>31526753</v>
      </c>
      <c r="E12">
        <v>1</v>
      </c>
      <c r="F12">
        <v>1</v>
      </c>
      <c r="G12">
        <v>1</v>
      </c>
      <c r="H12">
        <v>2</v>
      </c>
      <c r="I12" t="s">
        <v>193</v>
      </c>
      <c r="J12" t="s">
        <v>194</v>
      </c>
      <c r="K12" t="s">
        <v>195</v>
      </c>
      <c r="L12">
        <v>1368</v>
      </c>
      <c r="N12">
        <v>1011</v>
      </c>
      <c r="O12" t="s">
        <v>196</v>
      </c>
      <c r="P12" t="s">
        <v>196</v>
      </c>
      <c r="Q12">
        <v>1</v>
      </c>
      <c r="X12">
        <v>0.39</v>
      </c>
      <c r="Y12">
        <v>0</v>
      </c>
      <c r="Z12">
        <v>111.99</v>
      </c>
      <c r="AA12">
        <v>13.5</v>
      </c>
      <c r="AB12">
        <v>0</v>
      </c>
      <c r="AC12">
        <v>0</v>
      </c>
      <c r="AD12">
        <v>1</v>
      </c>
      <c r="AE12">
        <v>0</v>
      </c>
      <c r="AF12" t="s">
        <v>19</v>
      </c>
      <c r="AG12">
        <v>0.23399999999999999</v>
      </c>
      <c r="AH12">
        <v>2</v>
      </c>
      <c r="AI12">
        <v>34687736</v>
      </c>
      <c r="AJ12">
        <v>8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ROW(Source!A25)</f>
        <v>25</v>
      </c>
      <c r="B13">
        <v>34687742</v>
      </c>
      <c r="C13">
        <v>34687733</v>
      </c>
      <c r="D13">
        <v>31526949</v>
      </c>
      <c r="E13">
        <v>1</v>
      </c>
      <c r="F13">
        <v>1</v>
      </c>
      <c r="G13">
        <v>1</v>
      </c>
      <c r="H13">
        <v>2</v>
      </c>
      <c r="I13" t="s">
        <v>197</v>
      </c>
      <c r="J13" t="s">
        <v>198</v>
      </c>
      <c r="K13" t="s">
        <v>199</v>
      </c>
      <c r="L13">
        <v>1368</v>
      </c>
      <c r="N13">
        <v>1011</v>
      </c>
      <c r="O13" t="s">
        <v>196</v>
      </c>
      <c r="P13" t="s">
        <v>196</v>
      </c>
      <c r="Q13">
        <v>1</v>
      </c>
      <c r="X13">
        <v>0.23</v>
      </c>
      <c r="Y13">
        <v>0</v>
      </c>
      <c r="Z13">
        <v>131.44</v>
      </c>
      <c r="AA13">
        <v>11.6</v>
      </c>
      <c r="AB13">
        <v>0</v>
      </c>
      <c r="AC13">
        <v>0</v>
      </c>
      <c r="AD13">
        <v>1</v>
      </c>
      <c r="AE13">
        <v>0</v>
      </c>
      <c r="AF13" t="s">
        <v>19</v>
      </c>
      <c r="AG13">
        <v>0.13800000000000001</v>
      </c>
      <c r="AH13">
        <v>2</v>
      </c>
      <c r="AI13">
        <v>34687737</v>
      </c>
      <c r="AJ13">
        <v>9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ROW(Source!A25)</f>
        <v>25</v>
      </c>
      <c r="B14">
        <v>34687743</v>
      </c>
      <c r="C14">
        <v>34687733</v>
      </c>
      <c r="D14">
        <v>31528142</v>
      </c>
      <c r="E14">
        <v>1</v>
      </c>
      <c r="F14">
        <v>1</v>
      </c>
      <c r="G14">
        <v>1</v>
      </c>
      <c r="H14">
        <v>2</v>
      </c>
      <c r="I14" t="s">
        <v>200</v>
      </c>
      <c r="J14" t="s">
        <v>201</v>
      </c>
      <c r="K14" t="s">
        <v>202</v>
      </c>
      <c r="L14">
        <v>1368</v>
      </c>
      <c r="N14">
        <v>1011</v>
      </c>
      <c r="O14" t="s">
        <v>196</v>
      </c>
      <c r="P14" t="s">
        <v>196</v>
      </c>
      <c r="Q14">
        <v>1</v>
      </c>
      <c r="X14">
        <v>0.39</v>
      </c>
      <c r="Y14">
        <v>0</v>
      </c>
      <c r="Z14">
        <v>65.709999999999994</v>
      </c>
      <c r="AA14">
        <v>11.6</v>
      </c>
      <c r="AB14">
        <v>0</v>
      </c>
      <c r="AC14">
        <v>0</v>
      </c>
      <c r="AD14">
        <v>1</v>
      </c>
      <c r="AE14">
        <v>0</v>
      </c>
      <c r="AF14" t="s">
        <v>19</v>
      </c>
      <c r="AG14">
        <v>0.23399999999999999</v>
      </c>
      <c r="AH14">
        <v>2</v>
      </c>
      <c r="AI14">
        <v>34687738</v>
      </c>
      <c r="AJ14">
        <v>10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ROW(Source!A25)</f>
        <v>25</v>
      </c>
      <c r="B15">
        <v>34687744</v>
      </c>
      <c r="C15">
        <v>34687733</v>
      </c>
      <c r="D15">
        <v>31449051</v>
      </c>
      <c r="E15">
        <v>1</v>
      </c>
      <c r="F15">
        <v>1</v>
      </c>
      <c r="G15">
        <v>1</v>
      </c>
      <c r="H15">
        <v>3</v>
      </c>
      <c r="I15" t="s">
        <v>207</v>
      </c>
      <c r="J15" t="s">
        <v>208</v>
      </c>
      <c r="K15" t="s">
        <v>209</v>
      </c>
      <c r="L15">
        <v>1346</v>
      </c>
      <c r="N15">
        <v>1009</v>
      </c>
      <c r="O15" t="s">
        <v>62</v>
      </c>
      <c r="P15" t="s">
        <v>62</v>
      </c>
      <c r="Q15">
        <v>1</v>
      </c>
      <c r="X15">
        <v>1.35</v>
      </c>
      <c r="Y15">
        <v>9.0399999999999991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18</v>
      </c>
      <c r="AG15">
        <v>0</v>
      </c>
      <c r="AH15">
        <v>3</v>
      </c>
      <c r="AI15">
        <v>-1</v>
      </c>
      <c r="AJ15" t="s">
        <v>3</v>
      </c>
      <c r="AK15">
        <v>4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ROW(Source!A25)</f>
        <v>25</v>
      </c>
      <c r="B16">
        <v>34687745</v>
      </c>
      <c r="C16">
        <v>34687733</v>
      </c>
      <c r="D16">
        <v>31449341</v>
      </c>
      <c r="E16">
        <v>1</v>
      </c>
      <c r="F16">
        <v>1</v>
      </c>
      <c r="G16">
        <v>1</v>
      </c>
      <c r="H16">
        <v>3</v>
      </c>
      <c r="I16" t="s">
        <v>210</v>
      </c>
      <c r="J16" t="s">
        <v>211</v>
      </c>
      <c r="K16" t="s">
        <v>212</v>
      </c>
      <c r="L16">
        <v>1355</v>
      </c>
      <c r="N16">
        <v>1010</v>
      </c>
      <c r="O16" t="s">
        <v>213</v>
      </c>
      <c r="P16" t="s">
        <v>213</v>
      </c>
      <c r="Q16">
        <v>100</v>
      </c>
      <c r="X16">
        <v>0.04</v>
      </c>
      <c r="Y16">
        <v>254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18</v>
      </c>
      <c r="AG16">
        <v>0</v>
      </c>
      <c r="AH16">
        <v>3</v>
      </c>
      <c r="AI16">
        <v>-1</v>
      </c>
      <c r="AJ16" t="s">
        <v>3</v>
      </c>
      <c r="AK16">
        <v>4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ROW(Source!A25)</f>
        <v>25</v>
      </c>
      <c r="B17">
        <v>34687746</v>
      </c>
      <c r="C17">
        <v>34687733</v>
      </c>
      <c r="D17">
        <v>31482923</v>
      </c>
      <c r="E17">
        <v>1</v>
      </c>
      <c r="F17">
        <v>1</v>
      </c>
      <c r="G17">
        <v>1</v>
      </c>
      <c r="H17">
        <v>3</v>
      </c>
      <c r="I17" t="s">
        <v>214</v>
      </c>
      <c r="J17" t="s">
        <v>215</v>
      </c>
      <c r="K17" t="s">
        <v>216</v>
      </c>
      <c r="L17">
        <v>1346</v>
      </c>
      <c r="N17">
        <v>1009</v>
      </c>
      <c r="O17" t="s">
        <v>62</v>
      </c>
      <c r="P17" t="s">
        <v>62</v>
      </c>
      <c r="Q17">
        <v>1</v>
      </c>
      <c r="X17">
        <v>0.17</v>
      </c>
      <c r="Y17">
        <v>28.6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18</v>
      </c>
      <c r="AG17">
        <v>0</v>
      </c>
      <c r="AH17">
        <v>3</v>
      </c>
      <c r="AI17">
        <v>-1</v>
      </c>
      <c r="AJ17" t="s">
        <v>3</v>
      </c>
      <c r="AK17">
        <v>4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ROW(Source!A25)</f>
        <v>25</v>
      </c>
      <c r="B18">
        <v>34687747</v>
      </c>
      <c r="C18">
        <v>34687733</v>
      </c>
      <c r="D18">
        <v>31443668</v>
      </c>
      <c r="E18">
        <v>17</v>
      </c>
      <c r="F18">
        <v>1</v>
      </c>
      <c r="G18">
        <v>1</v>
      </c>
      <c r="H18">
        <v>3</v>
      </c>
      <c r="I18" t="s">
        <v>217</v>
      </c>
      <c r="J18" t="s">
        <v>3</v>
      </c>
      <c r="K18" t="s">
        <v>218</v>
      </c>
      <c r="L18">
        <v>1374</v>
      </c>
      <c r="N18">
        <v>1013</v>
      </c>
      <c r="O18" t="s">
        <v>219</v>
      </c>
      <c r="P18" t="s">
        <v>219</v>
      </c>
      <c r="Q18">
        <v>1</v>
      </c>
      <c r="X18">
        <v>1.53</v>
      </c>
      <c r="Y18">
        <v>1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18</v>
      </c>
      <c r="AG18">
        <v>0</v>
      </c>
      <c r="AH18">
        <v>3</v>
      </c>
      <c r="AI18">
        <v>-1</v>
      </c>
      <c r="AJ18" t="s">
        <v>3</v>
      </c>
      <c r="AK18">
        <v>4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ROW(Source!A26)</f>
        <v>26</v>
      </c>
      <c r="B19">
        <v>34687751</v>
      </c>
      <c r="C19">
        <v>34687748</v>
      </c>
      <c r="D19">
        <v>32163326</v>
      </c>
      <c r="E19">
        <v>1</v>
      </c>
      <c r="F19">
        <v>1</v>
      </c>
      <c r="G19">
        <v>1</v>
      </c>
      <c r="H19">
        <v>1</v>
      </c>
      <c r="I19" t="s">
        <v>203</v>
      </c>
      <c r="J19" t="s">
        <v>3</v>
      </c>
      <c r="K19" t="s">
        <v>204</v>
      </c>
      <c r="L19">
        <v>1191</v>
      </c>
      <c r="N19">
        <v>1013</v>
      </c>
      <c r="O19" t="s">
        <v>190</v>
      </c>
      <c r="P19" t="s">
        <v>190</v>
      </c>
      <c r="Q19">
        <v>1</v>
      </c>
      <c r="X19">
        <v>5.4</v>
      </c>
      <c r="Y19">
        <v>0</v>
      </c>
      <c r="Z19">
        <v>0</v>
      </c>
      <c r="AA19">
        <v>0</v>
      </c>
      <c r="AB19">
        <v>9.17</v>
      </c>
      <c r="AC19">
        <v>0</v>
      </c>
      <c r="AD19">
        <v>1</v>
      </c>
      <c r="AE19">
        <v>1</v>
      </c>
      <c r="AF19" t="s">
        <v>3</v>
      </c>
      <c r="AG19">
        <v>5.4</v>
      </c>
      <c r="AH19">
        <v>2</v>
      </c>
      <c r="AI19">
        <v>34687749</v>
      </c>
      <c r="AJ19">
        <v>11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ROW(Source!A26)</f>
        <v>26</v>
      </c>
      <c r="B20">
        <v>34687752</v>
      </c>
      <c r="C20">
        <v>34687748</v>
      </c>
      <c r="D20">
        <v>32163380</v>
      </c>
      <c r="E20">
        <v>1</v>
      </c>
      <c r="F20">
        <v>1</v>
      </c>
      <c r="G20">
        <v>1</v>
      </c>
      <c r="H20">
        <v>1</v>
      </c>
      <c r="I20" t="s">
        <v>205</v>
      </c>
      <c r="J20" t="s">
        <v>3</v>
      </c>
      <c r="K20" t="s">
        <v>206</v>
      </c>
      <c r="L20">
        <v>1191</v>
      </c>
      <c r="N20">
        <v>1013</v>
      </c>
      <c r="O20" t="s">
        <v>190</v>
      </c>
      <c r="P20" t="s">
        <v>190</v>
      </c>
      <c r="Q20">
        <v>1</v>
      </c>
      <c r="X20">
        <v>12.6</v>
      </c>
      <c r="Y20">
        <v>0</v>
      </c>
      <c r="Z20">
        <v>0</v>
      </c>
      <c r="AA20">
        <v>0</v>
      </c>
      <c r="AB20">
        <v>14.09</v>
      </c>
      <c r="AC20">
        <v>0</v>
      </c>
      <c r="AD20">
        <v>1</v>
      </c>
      <c r="AE20">
        <v>1</v>
      </c>
      <c r="AF20" t="s">
        <v>3</v>
      </c>
      <c r="AG20">
        <v>12.6</v>
      </c>
      <c r="AH20">
        <v>2</v>
      </c>
      <c r="AI20">
        <v>34687750</v>
      </c>
      <c r="AJ20">
        <v>12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ROW(Source!A27)</f>
        <v>27</v>
      </c>
      <c r="B21">
        <v>34687751</v>
      </c>
      <c r="C21">
        <v>34687748</v>
      </c>
      <c r="D21">
        <v>32163326</v>
      </c>
      <c r="E21">
        <v>1</v>
      </c>
      <c r="F21">
        <v>1</v>
      </c>
      <c r="G21">
        <v>1</v>
      </c>
      <c r="H21">
        <v>1</v>
      </c>
      <c r="I21" t="s">
        <v>203</v>
      </c>
      <c r="J21" t="s">
        <v>3</v>
      </c>
      <c r="K21" t="s">
        <v>204</v>
      </c>
      <c r="L21">
        <v>1191</v>
      </c>
      <c r="N21">
        <v>1013</v>
      </c>
      <c r="O21" t="s">
        <v>190</v>
      </c>
      <c r="P21" t="s">
        <v>190</v>
      </c>
      <c r="Q21">
        <v>1</v>
      </c>
      <c r="X21">
        <v>5.4</v>
      </c>
      <c r="Y21">
        <v>0</v>
      </c>
      <c r="Z21">
        <v>0</v>
      </c>
      <c r="AA21">
        <v>0</v>
      </c>
      <c r="AB21">
        <v>9.17</v>
      </c>
      <c r="AC21">
        <v>0</v>
      </c>
      <c r="AD21">
        <v>1</v>
      </c>
      <c r="AE21">
        <v>1</v>
      </c>
      <c r="AF21" t="s">
        <v>3</v>
      </c>
      <c r="AG21">
        <v>5.4</v>
      </c>
      <c r="AH21">
        <v>2</v>
      </c>
      <c r="AI21">
        <v>34687749</v>
      </c>
      <c r="AJ21">
        <v>13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ROW(Source!A27)</f>
        <v>27</v>
      </c>
      <c r="B22">
        <v>34687752</v>
      </c>
      <c r="C22">
        <v>34687748</v>
      </c>
      <c r="D22">
        <v>32163380</v>
      </c>
      <c r="E22">
        <v>1</v>
      </c>
      <c r="F22">
        <v>1</v>
      </c>
      <c r="G22">
        <v>1</v>
      </c>
      <c r="H22">
        <v>1</v>
      </c>
      <c r="I22" t="s">
        <v>205</v>
      </c>
      <c r="J22" t="s">
        <v>3</v>
      </c>
      <c r="K22" t="s">
        <v>206</v>
      </c>
      <c r="L22">
        <v>1191</v>
      </c>
      <c r="N22">
        <v>1013</v>
      </c>
      <c r="O22" t="s">
        <v>190</v>
      </c>
      <c r="P22" t="s">
        <v>190</v>
      </c>
      <c r="Q22">
        <v>1</v>
      </c>
      <c r="X22">
        <v>12.6</v>
      </c>
      <c r="Y22">
        <v>0</v>
      </c>
      <c r="Z22">
        <v>0</v>
      </c>
      <c r="AA22">
        <v>0</v>
      </c>
      <c r="AB22">
        <v>14.09</v>
      </c>
      <c r="AC22">
        <v>0</v>
      </c>
      <c r="AD22">
        <v>1</v>
      </c>
      <c r="AE22">
        <v>1</v>
      </c>
      <c r="AF22" t="s">
        <v>3</v>
      </c>
      <c r="AG22">
        <v>12.6</v>
      </c>
      <c r="AH22">
        <v>2</v>
      </c>
      <c r="AI22">
        <v>34687750</v>
      </c>
      <c r="AJ22">
        <v>14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ROW(Source!A28)</f>
        <v>28</v>
      </c>
      <c r="B23">
        <v>34687759</v>
      </c>
      <c r="C23">
        <v>34687753</v>
      </c>
      <c r="D23">
        <v>31715651</v>
      </c>
      <c r="E23">
        <v>1</v>
      </c>
      <c r="F23">
        <v>1</v>
      </c>
      <c r="G23">
        <v>1</v>
      </c>
      <c r="H23">
        <v>1</v>
      </c>
      <c r="I23" t="s">
        <v>188</v>
      </c>
      <c r="J23" t="s">
        <v>3</v>
      </c>
      <c r="K23" t="s">
        <v>189</v>
      </c>
      <c r="L23">
        <v>1191</v>
      </c>
      <c r="N23">
        <v>1013</v>
      </c>
      <c r="O23" t="s">
        <v>190</v>
      </c>
      <c r="P23" t="s">
        <v>190</v>
      </c>
      <c r="Q23">
        <v>1</v>
      </c>
      <c r="X23">
        <v>12.4</v>
      </c>
      <c r="Y23">
        <v>0</v>
      </c>
      <c r="Z23">
        <v>0</v>
      </c>
      <c r="AA23">
        <v>0</v>
      </c>
      <c r="AB23">
        <v>9.6199999999999992</v>
      </c>
      <c r="AC23">
        <v>0</v>
      </c>
      <c r="AD23">
        <v>1</v>
      </c>
      <c r="AE23">
        <v>1</v>
      </c>
      <c r="AF23" t="s">
        <v>3</v>
      </c>
      <c r="AG23">
        <v>12.4</v>
      </c>
      <c r="AH23">
        <v>2</v>
      </c>
      <c r="AI23">
        <v>34687754</v>
      </c>
      <c r="AJ23">
        <v>15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ROW(Source!A28)</f>
        <v>28</v>
      </c>
      <c r="B24">
        <v>34687760</v>
      </c>
      <c r="C24">
        <v>34687753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191</v>
      </c>
      <c r="J24" t="s">
        <v>3</v>
      </c>
      <c r="K24" t="s">
        <v>192</v>
      </c>
      <c r="L24">
        <v>1191</v>
      </c>
      <c r="N24">
        <v>1013</v>
      </c>
      <c r="O24" t="s">
        <v>190</v>
      </c>
      <c r="P24" t="s">
        <v>190</v>
      </c>
      <c r="Q24">
        <v>1</v>
      </c>
      <c r="X24">
        <v>0.41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2</v>
      </c>
      <c r="AF24" t="s">
        <v>3</v>
      </c>
      <c r="AG24">
        <v>0.41</v>
      </c>
      <c r="AH24">
        <v>2</v>
      </c>
      <c r="AI24">
        <v>34687755</v>
      </c>
      <c r="AJ24">
        <v>16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ROW(Source!A28)</f>
        <v>28</v>
      </c>
      <c r="B25">
        <v>34687761</v>
      </c>
      <c r="C25">
        <v>34687753</v>
      </c>
      <c r="D25">
        <v>31526753</v>
      </c>
      <c r="E25">
        <v>1</v>
      </c>
      <c r="F25">
        <v>1</v>
      </c>
      <c r="G25">
        <v>1</v>
      </c>
      <c r="H25">
        <v>2</v>
      </c>
      <c r="I25" t="s">
        <v>193</v>
      </c>
      <c r="J25" t="s">
        <v>194</v>
      </c>
      <c r="K25" t="s">
        <v>195</v>
      </c>
      <c r="L25">
        <v>1368</v>
      </c>
      <c r="N25">
        <v>1011</v>
      </c>
      <c r="O25" t="s">
        <v>196</v>
      </c>
      <c r="P25" t="s">
        <v>196</v>
      </c>
      <c r="Q25">
        <v>1</v>
      </c>
      <c r="X25">
        <v>0.13</v>
      </c>
      <c r="Y25">
        <v>0</v>
      </c>
      <c r="Z25">
        <v>111.99</v>
      </c>
      <c r="AA25">
        <v>13.5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0.13</v>
      </c>
      <c r="AH25">
        <v>2</v>
      </c>
      <c r="AI25">
        <v>34687756</v>
      </c>
      <c r="AJ25">
        <v>17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ROW(Source!A28)</f>
        <v>28</v>
      </c>
      <c r="B26">
        <v>34687762</v>
      </c>
      <c r="C26">
        <v>34687753</v>
      </c>
      <c r="D26">
        <v>31526949</v>
      </c>
      <c r="E26">
        <v>1</v>
      </c>
      <c r="F26">
        <v>1</v>
      </c>
      <c r="G26">
        <v>1</v>
      </c>
      <c r="H26">
        <v>2</v>
      </c>
      <c r="I26" t="s">
        <v>197</v>
      </c>
      <c r="J26" t="s">
        <v>198</v>
      </c>
      <c r="K26" t="s">
        <v>199</v>
      </c>
      <c r="L26">
        <v>1368</v>
      </c>
      <c r="N26">
        <v>1011</v>
      </c>
      <c r="O26" t="s">
        <v>196</v>
      </c>
      <c r="P26" t="s">
        <v>196</v>
      </c>
      <c r="Q26">
        <v>1</v>
      </c>
      <c r="X26">
        <v>0.15</v>
      </c>
      <c r="Y26">
        <v>0</v>
      </c>
      <c r="Z26">
        <v>131.44</v>
      </c>
      <c r="AA26">
        <v>11.6</v>
      </c>
      <c r="AB26">
        <v>0</v>
      </c>
      <c r="AC26">
        <v>0</v>
      </c>
      <c r="AD26">
        <v>1</v>
      </c>
      <c r="AE26">
        <v>0</v>
      </c>
      <c r="AF26" t="s">
        <v>3</v>
      </c>
      <c r="AG26">
        <v>0.15</v>
      </c>
      <c r="AH26">
        <v>2</v>
      </c>
      <c r="AI26">
        <v>34687757</v>
      </c>
      <c r="AJ26">
        <v>18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ROW(Source!A28)</f>
        <v>28</v>
      </c>
      <c r="B27">
        <v>34687763</v>
      </c>
      <c r="C27">
        <v>34687753</v>
      </c>
      <c r="D27">
        <v>31528142</v>
      </c>
      <c r="E27">
        <v>1</v>
      </c>
      <c r="F27">
        <v>1</v>
      </c>
      <c r="G27">
        <v>1</v>
      </c>
      <c r="H27">
        <v>2</v>
      </c>
      <c r="I27" t="s">
        <v>200</v>
      </c>
      <c r="J27" t="s">
        <v>201</v>
      </c>
      <c r="K27" t="s">
        <v>202</v>
      </c>
      <c r="L27">
        <v>1368</v>
      </c>
      <c r="N27">
        <v>1011</v>
      </c>
      <c r="O27" t="s">
        <v>196</v>
      </c>
      <c r="P27" t="s">
        <v>196</v>
      </c>
      <c r="Q27">
        <v>1</v>
      </c>
      <c r="X27">
        <v>0.13</v>
      </c>
      <c r="Y27">
        <v>0</v>
      </c>
      <c r="Z27">
        <v>65.709999999999994</v>
      </c>
      <c r="AA27">
        <v>11.6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0.13</v>
      </c>
      <c r="AH27">
        <v>2</v>
      </c>
      <c r="AI27">
        <v>34687758</v>
      </c>
      <c r="AJ27">
        <v>19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ROW(Source!A28)</f>
        <v>28</v>
      </c>
      <c r="B28">
        <v>34687764</v>
      </c>
      <c r="C28">
        <v>34687753</v>
      </c>
      <c r="D28">
        <v>31449051</v>
      </c>
      <c r="E28">
        <v>1</v>
      </c>
      <c r="F28">
        <v>1</v>
      </c>
      <c r="G28">
        <v>1</v>
      </c>
      <c r="H28">
        <v>3</v>
      </c>
      <c r="I28" t="s">
        <v>207</v>
      </c>
      <c r="J28" t="s">
        <v>208</v>
      </c>
      <c r="K28" t="s">
        <v>209</v>
      </c>
      <c r="L28">
        <v>1346</v>
      </c>
      <c r="N28">
        <v>1009</v>
      </c>
      <c r="O28" t="s">
        <v>62</v>
      </c>
      <c r="P28" t="s">
        <v>62</v>
      </c>
      <c r="Q28">
        <v>1</v>
      </c>
      <c r="X28">
        <v>0.42</v>
      </c>
      <c r="Y28">
        <v>9.0399999999999991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0.42</v>
      </c>
      <c r="AH28">
        <v>3</v>
      </c>
      <c r="AI28">
        <v>-1</v>
      </c>
      <c r="AJ28" t="s">
        <v>3</v>
      </c>
      <c r="AK28">
        <v>4</v>
      </c>
      <c r="AL28">
        <v>-3.7967999999999993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ROW(Source!A28)</f>
        <v>28</v>
      </c>
      <c r="B29">
        <v>34687765</v>
      </c>
      <c r="C29">
        <v>34687753</v>
      </c>
      <c r="D29">
        <v>31449341</v>
      </c>
      <c r="E29">
        <v>1</v>
      </c>
      <c r="F29">
        <v>1</v>
      </c>
      <c r="G29">
        <v>1</v>
      </c>
      <c r="H29">
        <v>3</v>
      </c>
      <c r="I29" t="s">
        <v>210</v>
      </c>
      <c r="J29" t="s">
        <v>211</v>
      </c>
      <c r="K29" t="s">
        <v>212</v>
      </c>
      <c r="L29">
        <v>1355</v>
      </c>
      <c r="N29">
        <v>1010</v>
      </c>
      <c r="O29" t="s">
        <v>213</v>
      </c>
      <c r="P29" t="s">
        <v>213</v>
      </c>
      <c r="Q29">
        <v>100</v>
      </c>
      <c r="X29">
        <v>0.04</v>
      </c>
      <c r="Y29">
        <v>254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0.04</v>
      </c>
      <c r="AH29">
        <v>3</v>
      </c>
      <c r="AI29">
        <v>-1</v>
      </c>
      <c r="AJ29" t="s">
        <v>3</v>
      </c>
      <c r="AK29">
        <v>4</v>
      </c>
      <c r="AL29">
        <v>-10.16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ROW(Source!A28)</f>
        <v>28</v>
      </c>
      <c r="B30">
        <v>34687766</v>
      </c>
      <c r="C30">
        <v>34687753</v>
      </c>
      <c r="D30">
        <v>31470585</v>
      </c>
      <c r="E30">
        <v>1</v>
      </c>
      <c r="F30">
        <v>1</v>
      </c>
      <c r="G30">
        <v>1</v>
      </c>
      <c r="H30">
        <v>3</v>
      </c>
      <c r="I30" t="s">
        <v>220</v>
      </c>
      <c r="J30" t="s">
        <v>221</v>
      </c>
      <c r="K30" t="s">
        <v>222</v>
      </c>
      <c r="L30">
        <v>1348</v>
      </c>
      <c r="N30">
        <v>1009</v>
      </c>
      <c r="O30" t="s">
        <v>223</v>
      </c>
      <c r="P30" t="s">
        <v>223</v>
      </c>
      <c r="Q30">
        <v>1000</v>
      </c>
      <c r="X30">
        <v>4.2000000000000002E-4</v>
      </c>
      <c r="Y30">
        <v>5000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4.2000000000000002E-4</v>
      </c>
      <c r="AH30">
        <v>3</v>
      </c>
      <c r="AI30">
        <v>-1</v>
      </c>
      <c r="AJ30" t="s">
        <v>3</v>
      </c>
      <c r="AK30">
        <v>4</v>
      </c>
      <c r="AL30">
        <v>-2.1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ROW(Source!A28)</f>
        <v>28</v>
      </c>
      <c r="B31">
        <v>34687767</v>
      </c>
      <c r="C31">
        <v>34687753</v>
      </c>
      <c r="D31">
        <v>31482923</v>
      </c>
      <c r="E31">
        <v>1</v>
      </c>
      <c r="F31">
        <v>1</v>
      </c>
      <c r="G31">
        <v>1</v>
      </c>
      <c r="H31">
        <v>3</v>
      </c>
      <c r="I31" t="s">
        <v>214</v>
      </c>
      <c r="J31" t="s">
        <v>215</v>
      </c>
      <c r="K31" t="s">
        <v>216</v>
      </c>
      <c r="L31">
        <v>1346</v>
      </c>
      <c r="N31">
        <v>1009</v>
      </c>
      <c r="O31" t="s">
        <v>62</v>
      </c>
      <c r="P31" t="s">
        <v>62</v>
      </c>
      <c r="Q31">
        <v>1</v>
      </c>
      <c r="X31">
        <v>0.03</v>
      </c>
      <c r="Y31">
        <v>28.6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0.03</v>
      </c>
      <c r="AH31">
        <v>3</v>
      </c>
      <c r="AI31">
        <v>-1</v>
      </c>
      <c r="AJ31" t="s">
        <v>3</v>
      </c>
      <c r="AK31">
        <v>4</v>
      </c>
      <c r="AL31">
        <v>-0.85799999999999998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ROW(Source!A28)</f>
        <v>28</v>
      </c>
      <c r="B32">
        <v>34687768</v>
      </c>
      <c r="C32">
        <v>34687753</v>
      </c>
      <c r="D32">
        <v>31443668</v>
      </c>
      <c r="E32">
        <v>17</v>
      </c>
      <c r="F32">
        <v>1</v>
      </c>
      <c r="G32">
        <v>1</v>
      </c>
      <c r="H32">
        <v>3</v>
      </c>
      <c r="I32" t="s">
        <v>217</v>
      </c>
      <c r="J32" t="s">
        <v>3</v>
      </c>
      <c r="K32" t="s">
        <v>218</v>
      </c>
      <c r="L32">
        <v>1374</v>
      </c>
      <c r="N32">
        <v>1013</v>
      </c>
      <c r="O32" t="s">
        <v>219</v>
      </c>
      <c r="P32" t="s">
        <v>219</v>
      </c>
      <c r="Q32">
        <v>1</v>
      </c>
      <c r="X32">
        <v>2.39</v>
      </c>
      <c r="Y32">
        <v>1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2.39</v>
      </c>
      <c r="AH32">
        <v>3</v>
      </c>
      <c r="AI32">
        <v>-1</v>
      </c>
      <c r="AJ32" t="s">
        <v>3</v>
      </c>
      <c r="AK32">
        <v>4</v>
      </c>
      <c r="AL32">
        <v>-2.39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ROW(Source!A29)</f>
        <v>29</v>
      </c>
      <c r="B33">
        <v>34687759</v>
      </c>
      <c r="C33">
        <v>34687753</v>
      </c>
      <c r="D33">
        <v>31715651</v>
      </c>
      <c r="E33">
        <v>1</v>
      </c>
      <c r="F33">
        <v>1</v>
      </c>
      <c r="G33">
        <v>1</v>
      </c>
      <c r="H33">
        <v>1</v>
      </c>
      <c r="I33" t="s">
        <v>188</v>
      </c>
      <c r="J33" t="s">
        <v>3</v>
      </c>
      <c r="K33" t="s">
        <v>189</v>
      </c>
      <c r="L33">
        <v>1191</v>
      </c>
      <c r="N33">
        <v>1013</v>
      </c>
      <c r="O33" t="s">
        <v>190</v>
      </c>
      <c r="P33" t="s">
        <v>190</v>
      </c>
      <c r="Q33">
        <v>1</v>
      </c>
      <c r="X33">
        <v>12.4</v>
      </c>
      <c r="Y33">
        <v>0</v>
      </c>
      <c r="Z33">
        <v>0</v>
      </c>
      <c r="AA33">
        <v>0</v>
      </c>
      <c r="AB33">
        <v>9.6199999999999992</v>
      </c>
      <c r="AC33">
        <v>0</v>
      </c>
      <c r="AD33">
        <v>1</v>
      </c>
      <c r="AE33">
        <v>1</v>
      </c>
      <c r="AF33" t="s">
        <v>3</v>
      </c>
      <c r="AG33">
        <v>12.4</v>
      </c>
      <c r="AH33">
        <v>2</v>
      </c>
      <c r="AI33">
        <v>34687754</v>
      </c>
      <c r="AJ33">
        <v>20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ROW(Source!A29)</f>
        <v>29</v>
      </c>
      <c r="B34">
        <v>34687760</v>
      </c>
      <c r="C34">
        <v>34687753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191</v>
      </c>
      <c r="J34" t="s">
        <v>3</v>
      </c>
      <c r="K34" t="s">
        <v>192</v>
      </c>
      <c r="L34">
        <v>1191</v>
      </c>
      <c r="N34">
        <v>1013</v>
      </c>
      <c r="O34" t="s">
        <v>190</v>
      </c>
      <c r="P34" t="s">
        <v>190</v>
      </c>
      <c r="Q34">
        <v>1</v>
      </c>
      <c r="X34">
        <v>0.41</v>
      </c>
      <c r="Y34">
        <v>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2</v>
      </c>
      <c r="AF34" t="s">
        <v>3</v>
      </c>
      <c r="AG34">
        <v>0.41</v>
      </c>
      <c r="AH34">
        <v>2</v>
      </c>
      <c r="AI34">
        <v>34687755</v>
      </c>
      <c r="AJ34">
        <v>21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ROW(Source!A29)</f>
        <v>29</v>
      </c>
      <c r="B35">
        <v>34687761</v>
      </c>
      <c r="C35">
        <v>34687753</v>
      </c>
      <c r="D35">
        <v>31526753</v>
      </c>
      <c r="E35">
        <v>1</v>
      </c>
      <c r="F35">
        <v>1</v>
      </c>
      <c r="G35">
        <v>1</v>
      </c>
      <c r="H35">
        <v>2</v>
      </c>
      <c r="I35" t="s">
        <v>193</v>
      </c>
      <c r="J35" t="s">
        <v>194</v>
      </c>
      <c r="K35" t="s">
        <v>195</v>
      </c>
      <c r="L35">
        <v>1368</v>
      </c>
      <c r="N35">
        <v>1011</v>
      </c>
      <c r="O35" t="s">
        <v>196</v>
      </c>
      <c r="P35" t="s">
        <v>196</v>
      </c>
      <c r="Q35">
        <v>1</v>
      </c>
      <c r="X35">
        <v>0.13</v>
      </c>
      <c r="Y35">
        <v>0</v>
      </c>
      <c r="Z35">
        <v>111.99</v>
      </c>
      <c r="AA35">
        <v>13.5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0.13</v>
      </c>
      <c r="AH35">
        <v>2</v>
      </c>
      <c r="AI35">
        <v>34687756</v>
      </c>
      <c r="AJ35">
        <v>22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ROW(Source!A29)</f>
        <v>29</v>
      </c>
      <c r="B36">
        <v>34687762</v>
      </c>
      <c r="C36">
        <v>34687753</v>
      </c>
      <c r="D36">
        <v>31526949</v>
      </c>
      <c r="E36">
        <v>1</v>
      </c>
      <c r="F36">
        <v>1</v>
      </c>
      <c r="G36">
        <v>1</v>
      </c>
      <c r="H36">
        <v>2</v>
      </c>
      <c r="I36" t="s">
        <v>197</v>
      </c>
      <c r="J36" t="s">
        <v>198</v>
      </c>
      <c r="K36" t="s">
        <v>199</v>
      </c>
      <c r="L36">
        <v>1368</v>
      </c>
      <c r="N36">
        <v>1011</v>
      </c>
      <c r="O36" t="s">
        <v>196</v>
      </c>
      <c r="P36" t="s">
        <v>196</v>
      </c>
      <c r="Q36">
        <v>1</v>
      </c>
      <c r="X36">
        <v>0.15</v>
      </c>
      <c r="Y36">
        <v>0</v>
      </c>
      <c r="Z36">
        <v>131.44</v>
      </c>
      <c r="AA36">
        <v>11.6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0.15</v>
      </c>
      <c r="AH36">
        <v>2</v>
      </c>
      <c r="AI36">
        <v>34687757</v>
      </c>
      <c r="AJ36">
        <v>23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ROW(Source!A29)</f>
        <v>29</v>
      </c>
      <c r="B37">
        <v>34687763</v>
      </c>
      <c r="C37">
        <v>34687753</v>
      </c>
      <c r="D37">
        <v>31528142</v>
      </c>
      <c r="E37">
        <v>1</v>
      </c>
      <c r="F37">
        <v>1</v>
      </c>
      <c r="G37">
        <v>1</v>
      </c>
      <c r="H37">
        <v>2</v>
      </c>
      <c r="I37" t="s">
        <v>200</v>
      </c>
      <c r="J37" t="s">
        <v>201</v>
      </c>
      <c r="K37" t="s">
        <v>202</v>
      </c>
      <c r="L37">
        <v>1368</v>
      </c>
      <c r="N37">
        <v>1011</v>
      </c>
      <c r="O37" t="s">
        <v>196</v>
      </c>
      <c r="P37" t="s">
        <v>196</v>
      </c>
      <c r="Q37">
        <v>1</v>
      </c>
      <c r="X37">
        <v>0.13</v>
      </c>
      <c r="Y37">
        <v>0</v>
      </c>
      <c r="Z37">
        <v>65.709999999999994</v>
      </c>
      <c r="AA37">
        <v>11.6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0.13</v>
      </c>
      <c r="AH37">
        <v>2</v>
      </c>
      <c r="AI37">
        <v>34687758</v>
      </c>
      <c r="AJ37">
        <v>24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ROW(Source!A29)</f>
        <v>29</v>
      </c>
      <c r="B38">
        <v>34687764</v>
      </c>
      <c r="C38">
        <v>34687753</v>
      </c>
      <c r="D38">
        <v>31449051</v>
      </c>
      <c r="E38">
        <v>1</v>
      </c>
      <c r="F38">
        <v>1</v>
      </c>
      <c r="G38">
        <v>1</v>
      </c>
      <c r="H38">
        <v>3</v>
      </c>
      <c r="I38" t="s">
        <v>207</v>
      </c>
      <c r="J38" t="s">
        <v>208</v>
      </c>
      <c r="K38" t="s">
        <v>209</v>
      </c>
      <c r="L38">
        <v>1346</v>
      </c>
      <c r="N38">
        <v>1009</v>
      </c>
      <c r="O38" t="s">
        <v>62</v>
      </c>
      <c r="P38" t="s">
        <v>62</v>
      </c>
      <c r="Q38">
        <v>1</v>
      </c>
      <c r="X38">
        <v>0.42</v>
      </c>
      <c r="Y38">
        <v>9.0399999999999991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0.42</v>
      </c>
      <c r="AH38">
        <v>3</v>
      </c>
      <c r="AI38">
        <v>-1</v>
      </c>
      <c r="AJ38" t="s">
        <v>3</v>
      </c>
      <c r="AK38">
        <v>4</v>
      </c>
      <c r="AL38">
        <v>-3.7967999999999993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ROW(Source!A29)</f>
        <v>29</v>
      </c>
      <c r="B39">
        <v>34687765</v>
      </c>
      <c r="C39">
        <v>34687753</v>
      </c>
      <c r="D39">
        <v>31449341</v>
      </c>
      <c r="E39">
        <v>1</v>
      </c>
      <c r="F39">
        <v>1</v>
      </c>
      <c r="G39">
        <v>1</v>
      </c>
      <c r="H39">
        <v>3</v>
      </c>
      <c r="I39" t="s">
        <v>210</v>
      </c>
      <c r="J39" t="s">
        <v>211</v>
      </c>
      <c r="K39" t="s">
        <v>212</v>
      </c>
      <c r="L39">
        <v>1355</v>
      </c>
      <c r="N39">
        <v>1010</v>
      </c>
      <c r="O39" t="s">
        <v>213</v>
      </c>
      <c r="P39" t="s">
        <v>213</v>
      </c>
      <c r="Q39">
        <v>100</v>
      </c>
      <c r="X39">
        <v>0.04</v>
      </c>
      <c r="Y39">
        <v>254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0.04</v>
      </c>
      <c r="AH39">
        <v>3</v>
      </c>
      <c r="AI39">
        <v>-1</v>
      </c>
      <c r="AJ39" t="s">
        <v>3</v>
      </c>
      <c r="AK39">
        <v>4</v>
      </c>
      <c r="AL39">
        <v>-10.16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ROW(Source!A29)</f>
        <v>29</v>
      </c>
      <c r="B40">
        <v>34687766</v>
      </c>
      <c r="C40">
        <v>34687753</v>
      </c>
      <c r="D40">
        <v>31470585</v>
      </c>
      <c r="E40">
        <v>1</v>
      </c>
      <c r="F40">
        <v>1</v>
      </c>
      <c r="G40">
        <v>1</v>
      </c>
      <c r="H40">
        <v>3</v>
      </c>
      <c r="I40" t="s">
        <v>220</v>
      </c>
      <c r="J40" t="s">
        <v>221</v>
      </c>
      <c r="K40" t="s">
        <v>222</v>
      </c>
      <c r="L40">
        <v>1348</v>
      </c>
      <c r="N40">
        <v>1009</v>
      </c>
      <c r="O40" t="s">
        <v>223</v>
      </c>
      <c r="P40" t="s">
        <v>223</v>
      </c>
      <c r="Q40">
        <v>1000</v>
      </c>
      <c r="X40">
        <v>4.2000000000000002E-4</v>
      </c>
      <c r="Y40">
        <v>5000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4.2000000000000002E-4</v>
      </c>
      <c r="AH40">
        <v>3</v>
      </c>
      <c r="AI40">
        <v>-1</v>
      </c>
      <c r="AJ40" t="s">
        <v>3</v>
      </c>
      <c r="AK40">
        <v>4</v>
      </c>
      <c r="AL40">
        <v>-2.1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ROW(Source!A29)</f>
        <v>29</v>
      </c>
      <c r="B41">
        <v>34687767</v>
      </c>
      <c r="C41">
        <v>34687753</v>
      </c>
      <c r="D41">
        <v>31482923</v>
      </c>
      <c r="E41">
        <v>1</v>
      </c>
      <c r="F41">
        <v>1</v>
      </c>
      <c r="G41">
        <v>1</v>
      </c>
      <c r="H41">
        <v>3</v>
      </c>
      <c r="I41" t="s">
        <v>214</v>
      </c>
      <c r="J41" t="s">
        <v>215</v>
      </c>
      <c r="K41" t="s">
        <v>216</v>
      </c>
      <c r="L41">
        <v>1346</v>
      </c>
      <c r="N41">
        <v>1009</v>
      </c>
      <c r="O41" t="s">
        <v>62</v>
      </c>
      <c r="P41" t="s">
        <v>62</v>
      </c>
      <c r="Q41">
        <v>1</v>
      </c>
      <c r="X41">
        <v>0.03</v>
      </c>
      <c r="Y41">
        <v>28.6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0.03</v>
      </c>
      <c r="AH41">
        <v>3</v>
      </c>
      <c r="AI41">
        <v>-1</v>
      </c>
      <c r="AJ41" t="s">
        <v>3</v>
      </c>
      <c r="AK41">
        <v>4</v>
      </c>
      <c r="AL41">
        <v>-0.85799999999999998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ROW(Source!A29)</f>
        <v>29</v>
      </c>
      <c r="B42">
        <v>34687768</v>
      </c>
      <c r="C42">
        <v>34687753</v>
      </c>
      <c r="D42">
        <v>31443668</v>
      </c>
      <c r="E42">
        <v>17</v>
      </c>
      <c r="F42">
        <v>1</v>
      </c>
      <c r="G42">
        <v>1</v>
      </c>
      <c r="H42">
        <v>3</v>
      </c>
      <c r="I42" t="s">
        <v>217</v>
      </c>
      <c r="J42" t="s">
        <v>3</v>
      </c>
      <c r="K42" t="s">
        <v>218</v>
      </c>
      <c r="L42">
        <v>1374</v>
      </c>
      <c r="N42">
        <v>1013</v>
      </c>
      <c r="O42" t="s">
        <v>219</v>
      </c>
      <c r="P42" t="s">
        <v>219</v>
      </c>
      <c r="Q42">
        <v>1</v>
      </c>
      <c r="X42">
        <v>2.39</v>
      </c>
      <c r="Y42">
        <v>1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2.39</v>
      </c>
      <c r="AH42">
        <v>3</v>
      </c>
      <c r="AI42">
        <v>-1</v>
      </c>
      <c r="AJ42" t="s">
        <v>3</v>
      </c>
      <c r="AK42">
        <v>4</v>
      </c>
      <c r="AL42">
        <v>-2.39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2.КС3</vt:lpstr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'2.КС3'!Заголовки_для_печати</vt:lpstr>
      <vt:lpstr>'1.Смета.или.Акт'!Область_печати</vt:lpstr>
      <vt:lpstr>'2.КС3'!Область_печати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2019-01-22T12:22:08Z</dcterms:created>
  <dcterms:modified xsi:type="dcterms:W3CDTF">2019-02-26T11:58:45Z</dcterms:modified>
</cp:coreProperties>
</file>