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2"/>
  </bookViews>
  <sheets>
    <sheet name="3.Оборудование" sheetId="11" r:id="rId1"/>
    <sheet name="2.Материалы" sheetId="9" r:id="rId2"/>
    <sheet name="1.Лок.смета.и.Акт" sheetId="7" r:id="rId3"/>
    <sheet name="SourceOb.1" sheetId="6" state="hidden" r:id="rId4"/>
    <sheet name="Source" sheetId="1" state="hidden" r:id="rId5"/>
    <sheet name="SourceObSm" sheetId="2" state="hidden" r:id="rId6"/>
    <sheet name="SmtRes" sheetId="3" state="hidden" r:id="rId7"/>
    <sheet name="EtalonRes" sheetId="4" state="hidden" r:id="rId8"/>
  </sheets>
  <definedNames>
    <definedName name="_xlnm.Print_Titles" localSheetId="2">'1.Лок.смета.и.Акт'!$46:$46</definedName>
    <definedName name="_xlnm.Print_Titles" localSheetId="1">'2.Материалы'!$18:$18</definedName>
    <definedName name="_xlnm.Print_Titles" localSheetId="0">'3.Оборудование'!$18:$18</definedName>
    <definedName name="_xlnm.Print_Area" localSheetId="2">'1.Лок.смета.и.Акт'!$A$1:$K$228</definedName>
    <definedName name="_xlnm.Print_Area" localSheetId="1">'2.Материалы'!$A$1:$G$69</definedName>
    <definedName name="_xlnm.Print_Area" localSheetId="0">'3.Оборудование'!$A$1:$G$29</definedName>
  </definedNames>
  <calcPr calcId="144525"/>
</workbook>
</file>

<file path=xl/calcChain.xml><?xml version="1.0" encoding="utf-8"?>
<calcChain xmlns="http://schemas.openxmlformats.org/spreadsheetml/2006/main">
  <c r="BZ25" i="11" l="1"/>
  <c r="BY25" i="11"/>
  <c r="BZ22" i="11"/>
  <c r="BY22" i="11"/>
  <c r="DK120" i="3"/>
  <c r="DJ120" i="3"/>
  <c r="DI120" i="3"/>
  <c r="DH120" i="3"/>
  <c r="DK119" i="3"/>
  <c r="DJ119" i="3"/>
  <c r="DI119" i="3"/>
  <c r="DH119" i="3"/>
  <c r="DK117" i="3"/>
  <c r="DJ117" i="3"/>
  <c r="DI117" i="3"/>
  <c r="DH117" i="3"/>
  <c r="DK116" i="3"/>
  <c r="DJ116" i="3"/>
  <c r="DI116" i="3"/>
  <c r="DH116" i="3"/>
  <c r="DK114" i="3"/>
  <c r="DJ114" i="3"/>
  <c r="DI114" i="3"/>
  <c r="DH114" i="3"/>
  <c r="DK113" i="3"/>
  <c r="DJ113" i="3"/>
  <c r="DI113" i="3"/>
  <c r="DH113" i="3"/>
  <c r="DK112" i="3"/>
  <c r="DJ112" i="3"/>
  <c r="DI112" i="3"/>
  <c r="DH112" i="3"/>
  <c r="DK111" i="3"/>
  <c r="DJ111" i="3"/>
  <c r="DI111" i="3"/>
  <c r="DH111" i="3"/>
  <c r="DK110" i="3"/>
  <c r="DJ110" i="3"/>
  <c r="DI110" i="3"/>
  <c r="DH110" i="3"/>
  <c r="DK105" i="3"/>
  <c r="DJ105" i="3"/>
  <c r="DI105" i="3"/>
  <c r="DH105" i="3"/>
  <c r="DK104" i="3"/>
  <c r="DJ104" i="3"/>
  <c r="DI104" i="3"/>
  <c r="DH104" i="3"/>
  <c r="DK103" i="3"/>
  <c r="DJ103" i="3"/>
  <c r="DI103" i="3"/>
  <c r="DH103" i="3"/>
  <c r="DK102" i="3"/>
  <c r="DJ102" i="3"/>
  <c r="DI102" i="3"/>
  <c r="DH102" i="3"/>
  <c r="DK101" i="3"/>
  <c r="DJ101" i="3"/>
  <c r="DI101" i="3"/>
  <c r="DH101" i="3"/>
  <c r="DK92" i="3"/>
  <c r="DJ92" i="3"/>
  <c r="DI92" i="3"/>
  <c r="DH92" i="3"/>
  <c r="DK91" i="3"/>
  <c r="DJ91" i="3"/>
  <c r="DI91" i="3"/>
  <c r="DH91" i="3"/>
  <c r="DK90" i="3"/>
  <c r="DJ90" i="3"/>
  <c r="DI90" i="3"/>
  <c r="DH90" i="3"/>
  <c r="DK89" i="3"/>
  <c r="DJ89" i="3"/>
  <c r="DI89" i="3"/>
  <c r="DH89" i="3"/>
  <c r="DK88" i="3"/>
  <c r="DJ88" i="3"/>
  <c r="DI88" i="3"/>
  <c r="DH88" i="3"/>
  <c r="DK84" i="3"/>
  <c r="DJ84" i="3"/>
  <c r="DI84" i="3"/>
  <c r="DH84" i="3"/>
  <c r="DK83" i="3"/>
  <c r="DJ83" i="3"/>
  <c r="DI83" i="3"/>
  <c r="DH83" i="3"/>
  <c r="DK82" i="3"/>
  <c r="DJ82" i="3"/>
  <c r="DI82" i="3"/>
  <c r="DH82" i="3"/>
  <c r="DK81" i="3"/>
  <c r="DJ81" i="3"/>
  <c r="DI81" i="3"/>
  <c r="DH81" i="3"/>
  <c r="DK80" i="3"/>
  <c r="DJ80" i="3"/>
  <c r="DI80" i="3"/>
  <c r="DH80" i="3"/>
  <c r="DK76" i="3"/>
  <c r="DJ76" i="3"/>
  <c r="DI76" i="3"/>
  <c r="DH76" i="3"/>
  <c r="DK74" i="3"/>
  <c r="DJ74" i="3"/>
  <c r="DI74" i="3"/>
  <c r="DH74" i="3"/>
  <c r="DK72" i="3"/>
  <c r="DJ72" i="3"/>
  <c r="DI72" i="3"/>
  <c r="DH72" i="3"/>
  <c r="DK71" i="3"/>
  <c r="DJ71" i="3"/>
  <c r="DI71" i="3"/>
  <c r="DH71" i="3"/>
  <c r="DK70" i="3"/>
  <c r="DJ70" i="3"/>
  <c r="DI70" i="3"/>
  <c r="DH70" i="3"/>
  <c r="DK68" i="3"/>
  <c r="DJ68" i="3"/>
  <c r="DI68" i="3"/>
  <c r="DH68" i="3"/>
  <c r="DK67" i="3"/>
  <c r="DJ67" i="3"/>
  <c r="DI67" i="3"/>
  <c r="DH67" i="3"/>
  <c r="DK66" i="3"/>
  <c r="DJ66" i="3"/>
  <c r="DI66" i="3"/>
  <c r="DH66" i="3"/>
  <c r="DK64" i="3"/>
  <c r="DJ64" i="3"/>
  <c r="DI64" i="3"/>
  <c r="DH64" i="3"/>
  <c r="DK63" i="3"/>
  <c r="DJ63" i="3"/>
  <c r="DI63" i="3"/>
  <c r="DH63" i="3"/>
  <c r="DK58" i="3"/>
  <c r="DJ58" i="3"/>
  <c r="DI58" i="3"/>
  <c r="DH58" i="3"/>
  <c r="DK57" i="3"/>
  <c r="DJ57" i="3"/>
  <c r="DI57" i="3"/>
  <c r="DH57" i="3"/>
  <c r="DK48" i="3"/>
  <c r="DJ48" i="3"/>
  <c r="DI48" i="3"/>
  <c r="DH48" i="3"/>
  <c r="DK47" i="3"/>
  <c r="DJ47" i="3"/>
  <c r="DI47" i="3"/>
  <c r="DH47" i="3"/>
  <c r="DK46" i="3"/>
  <c r="DJ46" i="3"/>
  <c r="DI46" i="3"/>
  <c r="DH46" i="3"/>
  <c r="DK45" i="3"/>
  <c r="DJ45" i="3"/>
  <c r="DI45" i="3"/>
  <c r="DH45" i="3"/>
  <c r="DK44" i="3"/>
  <c r="DJ44" i="3"/>
  <c r="DI44" i="3"/>
  <c r="DH44" i="3"/>
  <c r="DK43" i="3"/>
  <c r="DJ43" i="3"/>
  <c r="DI43" i="3"/>
  <c r="DH43" i="3"/>
  <c r="DK42" i="3"/>
  <c r="DJ42" i="3"/>
  <c r="DI42" i="3"/>
  <c r="DH42" i="3"/>
  <c r="DK41" i="3"/>
  <c r="DJ41" i="3"/>
  <c r="DI41" i="3"/>
  <c r="DH41" i="3"/>
  <c r="DK35" i="3"/>
  <c r="DJ35" i="3"/>
  <c r="DI35" i="3"/>
  <c r="DH35" i="3"/>
  <c r="DK34" i="3"/>
  <c r="DJ34" i="3"/>
  <c r="DI34" i="3"/>
  <c r="DH34" i="3"/>
  <c r="DK33" i="3"/>
  <c r="DJ33" i="3"/>
  <c r="DI33" i="3"/>
  <c r="DH33" i="3"/>
  <c r="DK32" i="3"/>
  <c r="DJ32" i="3"/>
  <c r="DI32" i="3"/>
  <c r="DH32" i="3"/>
  <c r="DK31" i="3"/>
  <c r="DJ31" i="3"/>
  <c r="DI31" i="3"/>
  <c r="DH31" i="3"/>
  <c r="DK30" i="3"/>
  <c r="DJ30" i="3"/>
  <c r="DI30" i="3"/>
  <c r="DH30" i="3"/>
  <c r="DK29" i="3"/>
  <c r="DJ29" i="3"/>
  <c r="DI29" i="3"/>
  <c r="DH29" i="3"/>
  <c r="DK28" i="3"/>
  <c r="DJ28" i="3"/>
  <c r="DI28" i="3"/>
  <c r="DH28" i="3"/>
  <c r="DK18" i="3"/>
  <c r="DJ18" i="3"/>
  <c r="DI18" i="3"/>
  <c r="DH18" i="3"/>
  <c r="DK17" i="3"/>
  <c r="DJ17" i="3"/>
  <c r="DI17" i="3"/>
  <c r="DH17" i="3"/>
  <c r="DK16" i="3"/>
  <c r="DJ16" i="3"/>
  <c r="DI16" i="3"/>
  <c r="DH16" i="3"/>
  <c r="DK10" i="3"/>
  <c r="DJ10" i="3"/>
  <c r="DI10" i="3"/>
  <c r="DH10" i="3"/>
  <c r="DK9" i="3"/>
  <c r="DJ9" i="3"/>
  <c r="DI9" i="3"/>
  <c r="DH9" i="3"/>
  <c r="DK8" i="3"/>
  <c r="DJ8" i="3"/>
  <c r="DI8" i="3"/>
  <c r="DH8" i="3"/>
  <c r="BS11" i="11"/>
  <c r="BR6" i="11"/>
  <c r="BR5" i="11"/>
  <c r="BR4" i="11"/>
  <c r="BR3" i="11"/>
  <c r="BZ65" i="9"/>
  <c r="BY65" i="9"/>
  <c r="BZ62" i="9"/>
  <c r="BY62" i="9"/>
  <c r="G2" i="1"/>
  <c r="G59" i="9"/>
  <c r="M57" i="9"/>
  <c r="G57" i="9"/>
  <c r="F55" i="9"/>
  <c r="E55" i="9"/>
  <c r="G55" i="9" s="1"/>
  <c r="P55" i="9"/>
  <c r="O55" i="9" s="1"/>
  <c r="G46" i="9"/>
  <c r="F46" i="9"/>
  <c r="E46" i="9"/>
  <c r="P46" i="9"/>
  <c r="O46" i="9" s="1"/>
  <c r="G56" i="9"/>
  <c r="F56" i="9"/>
  <c r="E56" i="9"/>
  <c r="P56" i="9"/>
  <c r="O56" i="9" s="1"/>
  <c r="G49" i="9"/>
  <c r="F49" i="9"/>
  <c r="E49" i="9"/>
  <c r="P49" i="9"/>
  <c r="O49" i="9" s="1"/>
  <c r="G42" i="9"/>
  <c r="F42" i="9"/>
  <c r="E42" i="9"/>
  <c r="P42" i="9"/>
  <c r="O42" i="9" s="1"/>
  <c r="G45" i="9"/>
  <c r="F45" i="9"/>
  <c r="E45" i="9"/>
  <c r="P45" i="9"/>
  <c r="O45" i="9" s="1"/>
  <c r="G44" i="9"/>
  <c r="F44" i="9"/>
  <c r="E44" i="9"/>
  <c r="P44" i="9"/>
  <c r="O44" i="9" s="1"/>
  <c r="G48" i="9"/>
  <c r="F48" i="9"/>
  <c r="E48" i="9"/>
  <c r="P48" i="9"/>
  <c r="O48" i="9" s="1"/>
  <c r="G47" i="9"/>
  <c r="F47" i="9"/>
  <c r="E47" i="9"/>
  <c r="P47" i="9"/>
  <c r="O47" i="9" s="1"/>
  <c r="G51" i="9"/>
  <c r="F51" i="9"/>
  <c r="E51" i="9"/>
  <c r="P51" i="9"/>
  <c r="O51" i="9" s="1"/>
  <c r="G50" i="9"/>
  <c r="F50" i="9"/>
  <c r="E50" i="9"/>
  <c r="P50" i="9"/>
  <c r="O50" i="9" s="1"/>
  <c r="F43" i="9"/>
  <c r="P43" i="9"/>
  <c r="O43" i="9" s="1"/>
  <c r="E43" i="9" s="1"/>
  <c r="G43" i="9" s="1"/>
  <c r="F53" i="9"/>
  <c r="P53" i="9"/>
  <c r="O53" i="9" s="1"/>
  <c r="E53" i="9" s="1"/>
  <c r="G53" i="9" s="1"/>
  <c r="F54" i="9"/>
  <c r="P54" i="9"/>
  <c r="O54" i="9" s="1"/>
  <c r="E54" i="9" s="1"/>
  <c r="G54" i="9" s="1"/>
  <c r="F52" i="9"/>
  <c r="P52" i="9"/>
  <c r="O52" i="9" s="1"/>
  <c r="E52" i="9" s="1"/>
  <c r="G52" i="9" s="1"/>
  <c r="M40" i="9"/>
  <c r="G40" i="9"/>
  <c r="F21" i="9"/>
  <c r="E21" i="9"/>
  <c r="G21" i="9" s="1"/>
  <c r="P21" i="9"/>
  <c r="O21" i="9" s="1"/>
  <c r="F30" i="9"/>
  <c r="P30" i="9"/>
  <c r="O30" i="9"/>
  <c r="E30" i="9" s="1"/>
  <c r="G30" i="9" s="1"/>
  <c r="F28" i="9"/>
  <c r="P28" i="9"/>
  <c r="O28" i="9" s="1"/>
  <c r="E28" i="9" s="1"/>
  <c r="G28" i="9" s="1"/>
  <c r="F31" i="9"/>
  <c r="P31" i="9"/>
  <c r="O31" i="9" s="1"/>
  <c r="E31" i="9" s="1"/>
  <c r="G31" i="9" s="1"/>
  <c r="F35" i="9"/>
  <c r="P35" i="9"/>
  <c r="O35" i="9" s="1"/>
  <c r="E35" i="9" s="1"/>
  <c r="G35" i="9" s="1"/>
  <c r="F33" i="9"/>
  <c r="P33" i="9"/>
  <c r="O33" i="9" s="1"/>
  <c r="E33" i="9" s="1"/>
  <c r="G33" i="9" s="1"/>
  <c r="F27" i="9"/>
  <c r="P27" i="9"/>
  <c r="O27" i="9" s="1"/>
  <c r="E27" i="9" s="1"/>
  <c r="G27" i="9" s="1"/>
  <c r="F38" i="9"/>
  <c r="P38" i="9"/>
  <c r="O38" i="9" s="1"/>
  <c r="E38" i="9" s="1"/>
  <c r="G38" i="9" s="1"/>
  <c r="F20" i="9"/>
  <c r="P20" i="9"/>
  <c r="O20" i="9" s="1"/>
  <c r="E20" i="9" s="1"/>
  <c r="G20" i="9" s="1"/>
  <c r="F34" i="9"/>
  <c r="P34" i="9"/>
  <c r="O34" i="9" s="1"/>
  <c r="E34" i="9" s="1"/>
  <c r="G34" i="9" s="1"/>
  <c r="F25" i="9"/>
  <c r="P25" i="9"/>
  <c r="O25" i="9" s="1"/>
  <c r="E25" i="9" s="1"/>
  <c r="G25" i="9" s="1"/>
  <c r="F29" i="9"/>
  <c r="Q29" i="9"/>
  <c r="P29" i="9"/>
  <c r="F37" i="9"/>
  <c r="E37" i="9"/>
  <c r="G37" i="9" s="1"/>
  <c r="P37" i="9"/>
  <c r="O37" i="9" s="1"/>
  <c r="F24" i="9"/>
  <c r="E24" i="9"/>
  <c r="G24" i="9" s="1"/>
  <c r="P24" i="9"/>
  <c r="O24" i="9" s="1"/>
  <c r="F23" i="9"/>
  <c r="E23" i="9"/>
  <c r="G23" i="9" s="1"/>
  <c r="P23" i="9"/>
  <c r="O23" i="9" s="1"/>
  <c r="F39" i="9"/>
  <c r="E39" i="9"/>
  <c r="G39" i="9" s="1"/>
  <c r="P39" i="9"/>
  <c r="O39" i="9" s="1"/>
  <c r="F36" i="9"/>
  <c r="E36" i="9"/>
  <c r="G36" i="9" s="1"/>
  <c r="P36" i="9"/>
  <c r="O36" i="9" s="1"/>
  <c r="F26" i="9"/>
  <c r="W26" i="9"/>
  <c r="V26" i="9"/>
  <c r="U26" i="9"/>
  <c r="T26" i="9"/>
  <c r="S26" i="9"/>
  <c r="R26" i="9"/>
  <c r="Q26" i="9"/>
  <c r="P26" i="9"/>
  <c r="F32" i="9"/>
  <c r="P32" i="9"/>
  <c r="O32" i="9" s="1"/>
  <c r="E32" i="9" s="1"/>
  <c r="G32" i="9" s="1"/>
  <c r="F22" i="9"/>
  <c r="Q22" i="9"/>
  <c r="P22" i="9"/>
  <c r="O22" i="9" s="1"/>
  <c r="E22" i="9" s="1"/>
  <c r="G22" i="9" s="1"/>
  <c r="BS11" i="9"/>
  <c r="BR6" i="9"/>
  <c r="BR5" i="9"/>
  <c r="BR4" i="9"/>
  <c r="BR3" i="9"/>
  <c r="BZ224" i="7"/>
  <c r="BY224" i="7"/>
  <c r="BZ221" i="7"/>
  <c r="BY221" i="7"/>
  <c r="BZ215" i="7"/>
  <c r="BY215" i="7"/>
  <c r="BZ212" i="7"/>
  <c r="BY212" i="7"/>
  <c r="J37" i="7"/>
  <c r="I37" i="7"/>
  <c r="E26" i="7"/>
  <c r="J208" i="7"/>
  <c r="J207" i="7"/>
  <c r="J206" i="7"/>
  <c r="H206" i="7"/>
  <c r="J204" i="7"/>
  <c r="H204" i="7"/>
  <c r="J203" i="7"/>
  <c r="H203" i="7"/>
  <c r="J202" i="7"/>
  <c r="H202" i="7"/>
  <c r="J201" i="7"/>
  <c r="H201" i="7"/>
  <c r="J199" i="7"/>
  <c r="H199" i="7"/>
  <c r="J198" i="7"/>
  <c r="H198" i="7"/>
  <c r="J197" i="7"/>
  <c r="H197" i="7"/>
  <c r="J38" i="7"/>
  <c r="I38" i="7"/>
  <c r="J39" i="7"/>
  <c r="I39" i="7"/>
  <c r="G8" i="1"/>
  <c r="J194" i="7"/>
  <c r="Q194" i="7"/>
  <c r="H194" i="7"/>
  <c r="P194" i="7"/>
  <c r="FV14" i="6"/>
  <c r="FU14" i="6"/>
  <c r="FT14" i="6"/>
  <c r="FS14" i="6"/>
  <c r="FR14" i="6"/>
  <c r="FQ14" i="6"/>
  <c r="FP14" i="6"/>
  <c r="FO14" i="6"/>
  <c r="FN14" i="6"/>
  <c r="FM14" i="6"/>
  <c r="FL14" i="6"/>
  <c r="FK14" i="6"/>
  <c r="FJ14" i="6"/>
  <c r="FI14" i="6"/>
  <c r="FH14" i="6"/>
  <c r="FG14" i="6"/>
  <c r="FF14" i="6"/>
  <c r="FE14" i="6"/>
  <c r="FD14" i="6"/>
  <c r="FC14" i="6"/>
  <c r="FB14" i="6"/>
  <c r="FA14" i="6"/>
  <c r="EZ14" i="6"/>
  <c r="EY14" i="6"/>
  <c r="EX14" i="6"/>
  <c r="EW14" i="6"/>
  <c r="EV14" i="6"/>
  <c r="EU14" i="6"/>
  <c r="ET14" i="6"/>
  <c r="FV194" i="7"/>
  <c r="FU194" i="7"/>
  <c r="FT194" i="7"/>
  <c r="FS194" i="7"/>
  <c r="FR194" i="7"/>
  <c r="FQ194" i="7"/>
  <c r="FP194" i="7"/>
  <c r="FO194" i="7"/>
  <c r="FN194" i="7"/>
  <c r="FM194" i="7"/>
  <c r="FL194" i="7"/>
  <c r="FK194" i="7"/>
  <c r="FJ194" i="7"/>
  <c r="FI194" i="7"/>
  <c r="FH194" i="7"/>
  <c r="FG194" i="7"/>
  <c r="FF194" i="7"/>
  <c r="FE194" i="7"/>
  <c r="FD194" i="7"/>
  <c r="FC194" i="7"/>
  <c r="FB194" i="7"/>
  <c r="FA194" i="7"/>
  <c r="EZ194" i="7"/>
  <c r="EY194" i="7"/>
  <c r="EX194" i="7"/>
  <c r="EW194" i="7"/>
  <c r="EV194" i="7"/>
  <c r="EU194" i="7"/>
  <c r="ET194" i="7"/>
  <c r="DY14" i="6"/>
  <c r="DX14" i="6"/>
  <c r="DW14" i="6"/>
  <c r="DU14" i="6"/>
  <c r="DT14" i="6"/>
  <c r="DS14" i="6"/>
  <c r="DR14" i="6"/>
  <c r="DQ14" i="6"/>
  <c r="DP14" i="6"/>
  <c r="DO14" i="6"/>
  <c r="DN14" i="6"/>
  <c r="DM14" i="6"/>
  <c r="DL14" i="6"/>
  <c r="DK14" i="6"/>
  <c r="DJ14" i="6"/>
  <c r="DI14" i="6"/>
  <c r="DH14" i="6"/>
  <c r="DG14" i="6"/>
  <c r="DF14" i="6"/>
  <c r="DE14" i="6"/>
  <c r="DD14" i="6"/>
  <c r="DC14" i="6"/>
  <c r="DB14" i="6"/>
  <c r="DA14" i="6"/>
  <c r="CZ14" i="6"/>
  <c r="CY14" i="6"/>
  <c r="CX14" i="6"/>
  <c r="CW14" i="6"/>
  <c r="DY194" i="7"/>
  <c r="DX194" i="7"/>
  <c r="DW194" i="7"/>
  <c r="DU194" i="7"/>
  <c r="DT194" i="7"/>
  <c r="DS194" i="7"/>
  <c r="DR194" i="7"/>
  <c r="DQ194" i="7"/>
  <c r="DP194" i="7"/>
  <c r="DO194" i="7"/>
  <c r="DN194" i="7"/>
  <c r="DM194" i="7"/>
  <c r="DL194" i="7"/>
  <c r="DK194" i="7"/>
  <c r="DJ194" i="7"/>
  <c r="DI194" i="7"/>
  <c r="DH194" i="7"/>
  <c r="DG194" i="7"/>
  <c r="DF194" i="7"/>
  <c r="DE194" i="7"/>
  <c r="DD194" i="7"/>
  <c r="DC194" i="7"/>
  <c r="DB194" i="7"/>
  <c r="DA194" i="7"/>
  <c r="CZ194" i="7"/>
  <c r="CY194" i="7"/>
  <c r="CX194" i="7"/>
  <c r="CW194" i="7"/>
  <c r="BC81" i="1"/>
  <c r="ES81" i="1"/>
  <c r="AL81" i="1"/>
  <c r="I81" i="1"/>
  <c r="GX191" i="7" s="1"/>
  <c r="I80" i="1"/>
  <c r="DW81" i="1"/>
  <c r="G81" i="1"/>
  <c r="F81" i="1"/>
  <c r="BC79" i="1"/>
  <c r="ES79" i="1"/>
  <c r="AL79" i="1"/>
  <c r="I79" i="1"/>
  <c r="GX188" i="7" s="1"/>
  <c r="I78" i="1"/>
  <c r="DW79" i="1"/>
  <c r="G79" i="1"/>
  <c r="F79" i="1"/>
  <c r="BC77" i="1"/>
  <c r="ES77" i="1"/>
  <c r="AL77" i="1"/>
  <c r="I77" i="1"/>
  <c r="GX185" i="7" s="1"/>
  <c r="I76" i="1"/>
  <c r="DW77" i="1"/>
  <c r="G77" i="1"/>
  <c r="F77" i="1"/>
  <c r="BC75" i="1"/>
  <c r="ES75" i="1"/>
  <c r="AL75" i="1"/>
  <c r="I75" i="1"/>
  <c r="GX182" i="7" s="1"/>
  <c r="I74" i="1"/>
  <c r="DW75" i="1"/>
  <c r="G75" i="1"/>
  <c r="F75" i="1"/>
  <c r="BC73" i="1"/>
  <c r="ES73" i="1"/>
  <c r="AL73" i="1"/>
  <c r="I73" i="1"/>
  <c r="GX179" i="7" s="1"/>
  <c r="I72" i="1"/>
  <c r="DW73" i="1"/>
  <c r="G73" i="1"/>
  <c r="F73" i="1"/>
  <c r="BC71" i="1"/>
  <c r="ES71" i="1"/>
  <c r="AL71" i="1"/>
  <c r="I71" i="1"/>
  <c r="GX176" i="7" s="1"/>
  <c r="I70" i="1"/>
  <c r="DW71" i="1"/>
  <c r="G71" i="1"/>
  <c r="F71" i="1"/>
  <c r="BC69" i="1"/>
  <c r="ES69" i="1"/>
  <c r="AL69" i="1"/>
  <c r="I69" i="1"/>
  <c r="GX173" i="7" s="1"/>
  <c r="I68" i="1"/>
  <c r="DW69" i="1"/>
  <c r="G69" i="1"/>
  <c r="F69" i="1"/>
  <c r="BC67" i="1"/>
  <c r="ES67" i="1"/>
  <c r="AL67" i="1"/>
  <c r="I67" i="1"/>
  <c r="GX170" i="7" s="1"/>
  <c r="I66" i="1"/>
  <c r="DW67" i="1"/>
  <c r="G67" i="1"/>
  <c r="F67" i="1"/>
  <c r="BC65" i="1"/>
  <c r="ES65" i="1"/>
  <c r="AL65" i="1"/>
  <c r="I65" i="1"/>
  <c r="GX167" i="7" s="1"/>
  <c r="I64" i="1"/>
  <c r="DW65" i="1"/>
  <c r="G65" i="1"/>
  <c r="F65" i="1"/>
  <c r="BC63" i="1"/>
  <c r="ES63" i="1"/>
  <c r="AL63" i="1"/>
  <c r="I63" i="1"/>
  <c r="GX164" i="7" s="1"/>
  <c r="I62" i="1"/>
  <c r="DW63" i="1"/>
  <c r="G63" i="1"/>
  <c r="F63" i="1"/>
  <c r="BC61" i="1"/>
  <c r="ES61" i="1"/>
  <c r="AL61" i="1"/>
  <c r="I61" i="1"/>
  <c r="GX161" i="7" s="1"/>
  <c r="I60" i="1"/>
  <c r="DW61" i="1"/>
  <c r="G61" i="1"/>
  <c r="F61" i="1"/>
  <c r="BC59" i="1"/>
  <c r="ES59" i="1"/>
  <c r="AL59" i="1"/>
  <c r="I59" i="1"/>
  <c r="GX158" i="7" s="1"/>
  <c r="I58" i="1"/>
  <c r="DW59" i="1"/>
  <c r="G59" i="1"/>
  <c r="F59" i="1"/>
  <c r="BC57" i="1"/>
  <c r="ES57" i="1"/>
  <c r="AL57" i="1"/>
  <c r="I57" i="1"/>
  <c r="GX155" i="7" s="1"/>
  <c r="I56" i="1"/>
  <c r="DW57" i="1"/>
  <c r="G57" i="1"/>
  <c r="F57" i="1"/>
  <c r="BC55" i="1"/>
  <c r="ES55" i="1"/>
  <c r="AL55" i="1"/>
  <c r="I55" i="1"/>
  <c r="GX152" i="7" s="1"/>
  <c r="I54" i="1"/>
  <c r="DW55" i="1"/>
  <c r="G55" i="1"/>
  <c r="F55" i="1"/>
  <c r="BC53" i="1"/>
  <c r="ES53" i="1"/>
  <c r="AL53" i="1"/>
  <c r="I53" i="1"/>
  <c r="GX149" i="7" s="1"/>
  <c r="I52" i="1"/>
  <c r="DW53" i="1"/>
  <c r="G53" i="1"/>
  <c r="F53" i="1"/>
  <c r="EW51" i="1"/>
  <c r="AQ51" i="1"/>
  <c r="BA51" i="1"/>
  <c r="EV51" i="1"/>
  <c r="ER51" i="1" s="1"/>
  <c r="AO51" i="1"/>
  <c r="AK51" i="1" s="1"/>
  <c r="F143" i="7" s="1"/>
  <c r="I51" i="1"/>
  <c r="I50" i="1"/>
  <c r="DW51" i="1"/>
  <c r="EW49" i="1"/>
  <c r="AQ49" i="1"/>
  <c r="BA49" i="1"/>
  <c r="EV49" i="1"/>
  <c r="ER49" i="1" s="1"/>
  <c r="AO49" i="1"/>
  <c r="AK49" i="1" s="1"/>
  <c r="F137" i="7" s="1"/>
  <c r="I49" i="1"/>
  <c r="I48" i="1"/>
  <c r="DW49" i="1"/>
  <c r="EW47" i="1"/>
  <c r="AQ47" i="1"/>
  <c r="BC47" i="1"/>
  <c r="ES47" i="1"/>
  <c r="AL47" i="1"/>
  <c r="BA47" i="1"/>
  <c r="EV47" i="1"/>
  <c r="AO47" i="1"/>
  <c r="I47" i="1"/>
  <c r="GW132" i="7" s="1"/>
  <c r="I46" i="1"/>
  <c r="DW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W125" i="7" s="1"/>
  <c r="I44" i="1"/>
  <c r="DW45" i="1"/>
  <c r="EW43" i="1"/>
  <c r="AQ43" i="1"/>
  <c r="BA43" i="1"/>
  <c r="EV43" i="1"/>
  <c r="ER43" i="1" s="1"/>
  <c r="AO43" i="1"/>
  <c r="AK43" i="1" s="1"/>
  <c r="F115" i="7" s="1"/>
  <c r="I43" i="1"/>
  <c r="I42" i="1"/>
  <c r="DW43" i="1"/>
  <c r="EW41" i="1"/>
  <c r="AQ41" i="1"/>
  <c r="BC41" i="1"/>
  <c r="ES41" i="1"/>
  <c r="AL41" i="1"/>
  <c r="BS41" i="1"/>
  <c r="EU41" i="1"/>
  <c r="AN41" i="1"/>
  <c r="BB41" i="1"/>
  <c r="ET41" i="1"/>
  <c r="AM41" i="1"/>
  <c r="BA41" i="1"/>
  <c r="EV41" i="1"/>
  <c r="AO41" i="1"/>
  <c r="I41" i="1"/>
  <c r="GW110" i="7" s="1"/>
  <c r="I40" i="1"/>
  <c r="DW41" i="1"/>
  <c r="EW39" i="1"/>
  <c r="AQ39" i="1"/>
  <c r="BC39" i="1"/>
  <c r="ES39" i="1"/>
  <c r="AL39" i="1"/>
  <c r="BA39" i="1"/>
  <c r="EV39" i="1"/>
  <c r="AO39" i="1"/>
  <c r="I39" i="1"/>
  <c r="GW101" i="7" s="1"/>
  <c r="I38" i="1"/>
  <c r="DW39" i="1"/>
  <c r="EW37" i="1"/>
  <c r="AQ37" i="1"/>
  <c r="BC37" i="1"/>
  <c r="ES37" i="1"/>
  <c r="AL37" i="1"/>
  <c r="BA37" i="1"/>
  <c r="EV37" i="1"/>
  <c r="AO37" i="1"/>
  <c r="I37" i="1"/>
  <c r="GW94" i="7" s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7" i="7" s="1"/>
  <c r="I34" i="1"/>
  <c r="DW35" i="1"/>
  <c r="EW33" i="1"/>
  <c r="AQ33" i="1"/>
  <c r="BA33" i="1"/>
  <c r="EV33" i="1"/>
  <c r="ER33" i="1" s="1"/>
  <c r="AO33" i="1"/>
  <c r="AK33" i="1" s="1"/>
  <c r="F77" i="7" s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2" i="7" s="1"/>
  <c r="I30" i="1"/>
  <c r="DW31" i="1"/>
  <c r="EW29" i="1"/>
  <c r="AQ29" i="1"/>
  <c r="BA29" i="1"/>
  <c r="EV29" i="1"/>
  <c r="ER29" i="1" s="1"/>
  <c r="AO29" i="1"/>
  <c r="AK29" i="1" s="1"/>
  <c r="F62" i="7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7" i="7" s="1"/>
  <c r="I26" i="1"/>
  <c r="DW27" i="1"/>
  <c r="EW25" i="1"/>
  <c r="AQ25" i="1"/>
  <c r="BA25" i="1"/>
  <c r="EV25" i="1"/>
  <c r="ER25" i="1" s="1"/>
  <c r="AO25" i="1"/>
  <c r="AK25" i="1" s="1"/>
  <c r="F47" i="7" s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O29" i="9" l="1"/>
  <c r="E29" i="9" s="1"/>
  <c r="G29" i="9" s="1"/>
  <c r="O26" i="9"/>
  <c r="E26" i="9" s="1"/>
  <c r="G26" i="9" s="1"/>
  <c r="GW191" i="7"/>
  <c r="GW188" i="7"/>
  <c r="GW185" i="7"/>
  <c r="GW179" i="7"/>
  <c r="GW182" i="7"/>
  <c r="GW176" i="7"/>
  <c r="GW155" i="7"/>
  <c r="GW173" i="7"/>
  <c r="GW170" i="7"/>
  <c r="GW167" i="7"/>
  <c r="GW164" i="7"/>
  <c r="GW161" i="7"/>
  <c r="GW158" i="7"/>
  <c r="GW152" i="7"/>
  <c r="GW149" i="7"/>
  <c r="GX132" i="7"/>
  <c r="GX125" i="7"/>
  <c r="ER47" i="1"/>
  <c r="AK47" i="1"/>
  <c r="F130" i="7" s="1"/>
  <c r="AK45" i="1"/>
  <c r="F121" i="7" s="1"/>
  <c r="ER45" i="1"/>
  <c r="GX110" i="7"/>
  <c r="GX101" i="7"/>
  <c r="AK41" i="1"/>
  <c r="F106" i="7" s="1"/>
  <c r="ER41" i="1"/>
  <c r="ER39" i="1"/>
  <c r="AK39" i="1"/>
  <c r="F99" i="7" s="1"/>
  <c r="GX94" i="7"/>
  <c r="GX87" i="7"/>
  <c r="ER37" i="1"/>
  <c r="AK37" i="1"/>
  <c r="F92" i="7" s="1"/>
  <c r="ER35" i="1"/>
  <c r="AK35" i="1"/>
  <c r="F83" i="7" s="1"/>
  <c r="GX72" i="7"/>
  <c r="ER31" i="1"/>
  <c r="AK31" i="1"/>
  <c r="F68" i="7" s="1"/>
  <c r="GX57" i="7"/>
  <c r="ER27" i="1"/>
  <c r="AK27" i="1"/>
  <c r="F53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" i="3"/>
  <c r="CX1" i="3"/>
  <c r="CY1" i="3"/>
  <c r="CZ1" i="3"/>
  <c r="DA1" i="3"/>
  <c r="DB1" i="3"/>
  <c r="DC1" i="3"/>
  <c r="A2" i="3"/>
  <c r="CX2" i="3"/>
  <c r="CY2" i="3"/>
  <c r="CZ2" i="3"/>
  <c r="DA2" i="3"/>
  <c r="DB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A6" i="3"/>
  <c r="DB6" i="3"/>
  <c r="DC6" i="3"/>
  <c r="A7" i="3"/>
  <c r="CX7" i="3"/>
  <c r="CY7" i="3"/>
  <c r="CZ7" i="3"/>
  <c r="DB7" i="3" s="1"/>
  <c r="DA7" i="3"/>
  <c r="DC7" i="3"/>
  <c r="A8" i="3"/>
  <c r="CX8" i="3"/>
  <c r="CY8" i="3"/>
  <c r="CZ8" i="3"/>
  <c r="DB8" i="3" s="1"/>
  <c r="DA8" i="3"/>
  <c r="DC8" i="3"/>
  <c r="A9" i="3"/>
  <c r="CX9" i="3"/>
  <c r="CY9" i="3"/>
  <c r="CZ9" i="3"/>
  <c r="DA9" i="3"/>
  <c r="DB9" i="3"/>
  <c r="DC9" i="3"/>
  <c r="A10" i="3"/>
  <c r="CX10" i="3"/>
  <c r="CY10" i="3"/>
  <c r="CZ10" i="3"/>
  <c r="DA10" i="3"/>
  <c r="DB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A14" i="3"/>
  <c r="DB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B16" i="3" s="1"/>
  <c r="DA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A18" i="3"/>
  <c r="DB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A22" i="3"/>
  <c r="DB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B24" i="3" s="1"/>
  <c r="DA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A26" i="3"/>
  <c r="DB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B28" i="3" s="1"/>
  <c r="DA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A30" i="3"/>
  <c r="DB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B32" i="3" s="1"/>
  <c r="DA32" i="3"/>
  <c r="DC32" i="3"/>
  <c r="A33" i="3"/>
  <c r="CX33" i="3"/>
  <c r="CY33" i="3"/>
  <c r="CZ33" i="3"/>
  <c r="DA33" i="3"/>
  <c r="DB33" i="3"/>
  <c r="DC33" i="3"/>
  <c r="A34" i="3"/>
  <c r="CX34" i="3"/>
  <c r="CY34" i="3"/>
  <c r="CZ34" i="3"/>
  <c r="DA34" i="3"/>
  <c r="DB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A38" i="3"/>
  <c r="DB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B40" i="3" s="1"/>
  <c r="DA40" i="3"/>
  <c r="DC40" i="3"/>
  <c r="A41" i="3"/>
  <c r="CX41" i="3"/>
  <c r="CY41" i="3"/>
  <c r="CZ41" i="3"/>
  <c r="DA41" i="3"/>
  <c r="DB41" i="3"/>
  <c r="DC41" i="3"/>
  <c r="A42" i="3"/>
  <c r="CX42" i="3"/>
  <c r="CY42" i="3"/>
  <c r="CZ42" i="3"/>
  <c r="DA42" i="3"/>
  <c r="DB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B44" i="3" s="1"/>
  <c r="DA44" i="3"/>
  <c r="DC44" i="3"/>
  <c r="A45" i="3"/>
  <c r="CX45" i="3"/>
  <c r="CY45" i="3"/>
  <c r="CZ45" i="3"/>
  <c r="DA45" i="3"/>
  <c r="DB45" i="3"/>
  <c r="DC45" i="3"/>
  <c r="A46" i="3"/>
  <c r="CX46" i="3"/>
  <c r="CY46" i="3"/>
  <c r="CZ46" i="3"/>
  <c r="DA46" i="3"/>
  <c r="DB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B48" i="3" s="1"/>
  <c r="DA48" i="3"/>
  <c r="DC48" i="3"/>
  <c r="A49" i="3"/>
  <c r="CX49" i="3"/>
  <c r="CY49" i="3"/>
  <c r="CZ49" i="3"/>
  <c r="DA49" i="3"/>
  <c r="DB49" i="3"/>
  <c r="DC49" i="3"/>
  <c r="A50" i="3"/>
  <c r="CX50" i="3"/>
  <c r="CY50" i="3"/>
  <c r="CZ50" i="3"/>
  <c r="DA50" i="3"/>
  <c r="DB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B52" i="3" s="1"/>
  <c r="DA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A54" i="3"/>
  <c r="DB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B56" i="3" s="1"/>
  <c r="DA56" i="3"/>
  <c r="DC56" i="3"/>
  <c r="A57" i="3"/>
  <c r="CX57" i="3"/>
  <c r="CY57" i="3"/>
  <c r="CZ57" i="3"/>
  <c r="DA57" i="3"/>
  <c r="DB57" i="3"/>
  <c r="DC57" i="3"/>
  <c r="A58" i="3"/>
  <c r="CX58" i="3"/>
  <c r="CY58" i="3"/>
  <c r="CZ58" i="3"/>
  <c r="DA58" i="3"/>
  <c r="DB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A61" i="3"/>
  <c r="DB61" i="3"/>
  <c r="DC61" i="3"/>
  <c r="A62" i="3"/>
  <c r="CX62" i="3"/>
  <c r="CY62" i="3"/>
  <c r="CZ62" i="3"/>
  <c r="DA62" i="3"/>
  <c r="DB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B64" i="3" s="1"/>
  <c r="DA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A66" i="3"/>
  <c r="DB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B68" i="3" s="1"/>
  <c r="DA68" i="3"/>
  <c r="DC68" i="3"/>
  <c r="A69" i="3"/>
  <c r="CX69" i="3"/>
  <c r="CY69" i="3"/>
  <c r="CZ69" i="3"/>
  <c r="DA69" i="3"/>
  <c r="DB69" i="3"/>
  <c r="DC69" i="3"/>
  <c r="A70" i="3"/>
  <c r="CX70" i="3"/>
  <c r="CY70" i="3"/>
  <c r="CZ70" i="3"/>
  <c r="DA70" i="3"/>
  <c r="DB70" i="3"/>
  <c r="DC70" i="3"/>
  <c r="A71" i="3"/>
  <c r="CX71" i="3"/>
  <c r="CY71" i="3"/>
  <c r="CZ71" i="3"/>
  <c r="DB71" i="3" s="1"/>
  <c r="DA71" i="3"/>
  <c r="DC71" i="3"/>
  <c r="A72" i="3"/>
  <c r="CX72" i="3"/>
  <c r="CY72" i="3"/>
  <c r="CZ72" i="3"/>
  <c r="DB72" i="3" s="1"/>
  <c r="DA72" i="3"/>
  <c r="DC72" i="3"/>
  <c r="A73" i="3"/>
  <c r="CX73" i="3"/>
  <c r="CY73" i="3"/>
  <c r="CZ73" i="3"/>
  <c r="DA73" i="3"/>
  <c r="DB73" i="3"/>
  <c r="DC73" i="3"/>
  <c r="A74" i="3"/>
  <c r="CX74" i="3"/>
  <c r="CY74" i="3"/>
  <c r="CZ74" i="3"/>
  <c r="DA74" i="3"/>
  <c r="DB74" i="3"/>
  <c r="DC74" i="3"/>
  <c r="A75" i="3"/>
  <c r="CX75" i="3"/>
  <c r="CY75" i="3"/>
  <c r="CZ75" i="3"/>
  <c r="DB75" i="3" s="1"/>
  <c r="DA75" i="3"/>
  <c r="DC75" i="3"/>
  <c r="A76" i="3"/>
  <c r="CX76" i="3"/>
  <c r="CY76" i="3"/>
  <c r="CZ76" i="3"/>
  <c r="DB76" i="3" s="1"/>
  <c r="DA76" i="3"/>
  <c r="DC76" i="3"/>
  <c r="A77" i="3"/>
  <c r="CX77" i="3"/>
  <c r="CY77" i="3"/>
  <c r="CZ77" i="3"/>
  <c r="DA77" i="3"/>
  <c r="DB77" i="3"/>
  <c r="DC77" i="3"/>
  <c r="A78" i="3"/>
  <c r="CX78" i="3"/>
  <c r="CY78" i="3"/>
  <c r="CZ78" i="3"/>
  <c r="DA78" i="3"/>
  <c r="DB78" i="3"/>
  <c r="DC78" i="3"/>
  <c r="A79" i="3"/>
  <c r="CX79" i="3"/>
  <c r="CY79" i="3"/>
  <c r="CZ79" i="3"/>
  <c r="DB79" i="3" s="1"/>
  <c r="DA79" i="3"/>
  <c r="DC79" i="3"/>
  <c r="A80" i="3"/>
  <c r="CX80" i="3"/>
  <c r="CY80" i="3"/>
  <c r="CZ80" i="3"/>
  <c r="DB80" i="3" s="1"/>
  <c r="DA80" i="3"/>
  <c r="DC80" i="3"/>
  <c r="A81" i="3"/>
  <c r="CX81" i="3"/>
  <c r="CY81" i="3"/>
  <c r="CZ81" i="3"/>
  <c r="DA81" i="3"/>
  <c r="DB81" i="3"/>
  <c r="DC81" i="3"/>
  <c r="A82" i="3"/>
  <c r="CX82" i="3"/>
  <c r="CY82" i="3"/>
  <c r="CZ82" i="3"/>
  <c r="DA82" i="3"/>
  <c r="DB82" i="3"/>
  <c r="DC82" i="3"/>
  <c r="A83" i="3"/>
  <c r="CX83" i="3"/>
  <c r="CY83" i="3"/>
  <c r="CZ83" i="3"/>
  <c r="DB83" i="3" s="1"/>
  <c r="DA83" i="3"/>
  <c r="DC83" i="3"/>
  <c r="A84" i="3"/>
  <c r="CX84" i="3"/>
  <c r="CY84" i="3"/>
  <c r="CZ84" i="3"/>
  <c r="DB84" i="3" s="1"/>
  <c r="DA84" i="3"/>
  <c r="DC84" i="3"/>
  <c r="A85" i="3"/>
  <c r="CX85" i="3"/>
  <c r="CY85" i="3"/>
  <c r="CZ85" i="3"/>
  <c r="DA85" i="3"/>
  <c r="DB85" i="3"/>
  <c r="DC85" i="3"/>
  <c r="A86" i="3"/>
  <c r="CX86" i="3"/>
  <c r="CY86" i="3"/>
  <c r="CZ86" i="3"/>
  <c r="DA86" i="3"/>
  <c r="DB86" i="3"/>
  <c r="DC86" i="3"/>
  <c r="A87" i="3"/>
  <c r="CX87" i="3"/>
  <c r="CY87" i="3"/>
  <c r="CZ87" i="3"/>
  <c r="DB87" i="3" s="1"/>
  <c r="DA87" i="3"/>
  <c r="DC87" i="3"/>
  <c r="A88" i="3"/>
  <c r="CX88" i="3"/>
  <c r="CY88" i="3"/>
  <c r="CZ88" i="3"/>
  <c r="DB88" i="3" s="1"/>
  <c r="DA88" i="3"/>
  <c r="DC88" i="3"/>
  <c r="A89" i="3"/>
  <c r="CX89" i="3"/>
  <c r="CY89" i="3"/>
  <c r="CZ89" i="3"/>
  <c r="DA89" i="3"/>
  <c r="DB89" i="3"/>
  <c r="DC89" i="3"/>
  <c r="A90" i="3"/>
  <c r="CX90" i="3"/>
  <c r="CY90" i="3"/>
  <c r="CZ90" i="3"/>
  <c r="DA90" i="3"/>
  <c r="DB90" i="3"/>
  <c r="DC90" i="3"/>
  <c r="A91" i="3"/>
  <c r="CX91" i="3"/>
  <c r="CY91" i="3"/>
  <c r="CZ91" i="3"/>
  <c r="DB91" i="3" s="1"/>
  <c r="DA91" i="3"/>
  <c r="DC91" i="3"/>
  <c r="A92" i="3"/>
  <c r="CX92" i="3"/>
  <c r="CY92" i="3"/>
  <c r="CZ92" i="3"/>
  <c r="DB92" i="3" s="1"/>
  <c r="DA92" i="3"/>
  <c r="DC92" i="3"/>
  <c r="A93" i="3"/>
  <c r="CX93" i="3"/>
  <c r="CY93" i="3"/>
  <c r="CZ93" i="3"/>
  <c r="DA93" i="3"/>
  <c r="DB93" i="3"/>
  <c r="DC93" i="3"/>
  <c r="A94" i="3"/>
  <c r="CX94" i="3"/>
  <c r="CY94" i="3"/>
  <c r="CZ94" i="3"/>
  <c r="DA94" i="3"/>
  <c r="DB94" i="3"/>
  <c r="DC94" i="3"/>
  <c r="A95" i="3"/>
  <c r="CX95" i="3"/>
  <c r="CY95" i="3"/>
  <c r="CZ95" i="3"/>
  <c r="DB95" i="3" s="1"/>
  <c r="DA95" i="3"/>
  <c r="DC95" i="3"/>
  <c r="A96" i="3"/>
  <c r="CX96" i="3"/>
  <c r="CY96" i="3"/>
  <c r="CZ96" i="3"/>
  <c r="DB96" i="3" s="1"/>
  <c r="DA96" i="3"/>
  <c r="DC96" i="3"/>
  <c r="A97" i="3"/>
  <c r="CX97" i="3"/>
  <c r="CY97" i="3"/>
  <c r="CZ97" i="3"/>
  <c r="DA97" i="3"/>
  <c r="DB97" i="3"/>
  <c r="DC97" i="3"/>
  <c r="A98" i="3"/>
  <c r="CX98" i="3"/>
  <c r="CY98" i="3"/>
  <c r="CZ98" i="3"/>
  <c r="DA98" i="3"/>
  <c r="DB98" i="3"/>
  <c r="DC98" i="3"/>
  <c r="A99" i="3"/>
  <c r="CX99" i="3"/>
  <c r="CY99" i="3"/>
  <c r="CZ99" i="3"/>
  <c r="DB99" i="3" s="1"/>
  <c r="DA99" i="3"/>
  <c r="DC99" i="3"/>
  <c r="A100" i="3"/>
  <c r="CX100" i="3"/>
  <c r="CY100" i="3"/>
  <c r="CZ100" i="3"/>
  <c r="DB100" i="3" s="1"/>
  <c r="DA100" i="3"/>
  <c r="DC100" i="3"/>
  <c r="A101" i="3"/>
  <c r="CX101" i="3"/>
  <c r="CY101" i="3"/>
  <c r="CZ101" i="3"/>
  <c r="DA101" i="3"/>
  <c r="DB101" i="3"/>
  <c r="DC101" i="3"/>
  <c r="A102" i="3"/>
  <c r="CX102" i="3"/>
  <c r="CY102" i="3"/>
  <c r="CZ102" i="3"/>
  <c r="DA102" i="3"/>
  <c r="DB102" i="3"/>
  <c r="DC102" i="3"/>
  <c r="A103" i="3"/>
  <c r="CX103" i="3"/>
  <c r="CY103" i="3"/>
  <c r="CZ103" i="3"/>
  <c r="DB103" i="3" s="1"/>
  <c r="DA103" i="3"/>
  <c r="DC103" i="3"/>
  <c r="A104" i="3"/>
  <c r="CX104" i="3"/>
  <c r="CY104" i="3"/>
  <c r="CZ104" i="3"/>
  <c r="DB104" i="3" s="1"/>
  <c r="DA104" i="3"/>
  <c r="DC104" i="3"/>
  <c r="A105" i="3"/>
  <c r="CX105" i="3"/>
  <c r="CY105" i="3"/>
  <c r="CZ105" i="3"/>
  <c r="DA105" i="3"/>
  <c r="DB105" i="3"/>
  <c r="DC105" i="3"/>
  <c r="A106" i="3"/>
  <c r="CX106" i="3"/>
  <c r="CY106" i="3"/>
  <c r="CZ106" i="3"/>
  <c r="DA106" i="3"/>
  <c r="DB106" i="3"/>
  <c r="DC106" i="3"/>
  <c r="A107" i="3"/>
  <c r="CX107" i="3"/>
  <c r="CY107" i="3"/>
  <c r="CZ107" i="3"/>
  <c r="DB107" i="3" s="1"/>
  <c r="DA107" i="3"/>
  <c r="DC107" i="3"/>
  <c r="A108" i="3"/>
  <c r="CX108" i="3"/>
  <c r="CY108" i="3"/>
  <c r="CZ108" i="3"/>
  <c r="DB108" i="3" s="1"/>
  <c r="DA108" i="3"/>
  <c r="DC108" i="3"/>
  <c r="A109" i="3"/>
  <c r="CX109" i="3"/>
  <c r="CY109" i="3"/>
  <c r="CZ109" i="3"/>
  <c r="DA109" i="3"/>
  <c r="DB109" i="3"/>
  <c r="DC109" i="3"/>
  <c r="A110" i="3"/>
  <c r="CX110" i="3"/>
  <c r="CY110" i="3"/>
  <c r="CZ110" i="3"/>
  <c r="DA110" i="3"/>
  <c r="DB110" i="3"/>
  <c r="DC110" i="3"/>
  <c r="A111" i="3"/>
  <c r="CX111" i="3"/>
  <c r="CY111" i="3"/>
  <c r="CZ111" i="3"/>
  <c r="DB111" i="3" s="1"/>
  <c r="DA111" i="3"/>
  <c r="DC111" i="3"/>
  <c r="A112" i="3"/>
  <c r="CX112" i="3"/>
  <c r="CY112" i="3"/>
  <c r="CZ112" i="3"/>
  <c r="DB112" i="3" s="1"/>
  <c r="DA112" i="3"/>
  <c r="DC112" i="3"/>
  <c r="A113" i="3"/>
  <c r="CX113" i="3"/>
  <c r="CY113" i="3"/>
  <c r="CZ113" i="3"/>
  <c r="DA113" i="3"/>
  <c r="DB113" i="3"/>
  <c r="DC113" i="3"/>
  <c r="A114" i="3"/>
  <c r="CX114" i="3"/>
  <c r="CY114" i="3"/>
  <c r="CZ114" i="3"/>
  <c r="DA114" i="3"/>
  <c r="DB114" i="3"/>
  <c r="DC114" i="3"/>
  <c r="A115" i="3"/>
  <c r="CX115" i="3"/>
  <c r="CY115" i="3"/>
  <c r="CZ115" i="3"/>
  <c r="DB115" i="3" s="1"/>
  <c r="DA115" i="3"/>
  <c r="DC115" i="3"/>
  <c r="A116" i="3"/>
  <c r="CX116" i="3"/>
  <c r="CY116" i="3"/>
  <c r="CZ116" i="3"/>
  <c r="DB116" i="3" s="1"/>
  <c r="DA116" i="3"/>
  <c r="DC116" i="3"/>
  <c r="A117" i="3"/>
  <c r="CX117" i="3"/>
  <c r="CY117" i="3"/>
  <c r="CZ117" i="3"/>
  <c r="DA117" i="3"/>
  <c r="DB117" i="3"/>
  <c r="DC117" i="3"/>
  <c r="A118" i="3"/>
  <c r="CX118" i="3"/>
  <c r="CY118" i="3"/>
  <c r="CZ118" i="3"/>
  <c r="DA118" i="3"/>
  <c r="DB118" i="3"/>
  <c r="DC118" i="3"/>
  <c r="A119" i="3"/>
  <c r="CX119" i="3"/>
  <c r="CY119" i="3"/>
  <c r="CZ119" i="3"/>
  <c r="DB119" i="3" s="1"/>
  <c r="DA119" i="3"/>
  <c r="DC119" i="3"/>
  <c r="A120" i="3"/>
  <c r="CX120" i="3"/>
  <c r="CY120" i="3"/>
  <c r="CZ120" i="3"/>
  <c r="DB120" i="3" s="1"/>
  <c r="DA120" i="3"/>
  <c r="DC120" i="3"/>
  <c r="A121" i="3"/>
  <c r="CX121" i="3"/>
  <c r="CY121" i="3"/>
  <c r="CZ121" i="3"/>
  <c r="DA121" i="3"/>
  <c r="DB121" i="3"/>
  <c r="DC121" i="3"/>
  <c r="A122" i="3"/>
  <c r="CX122" i="3"/>
  <c r="CY122" i="3"/>
  <c r="CZ122" i="3"/>
  <c r="DA122" i="3"/>
  <c r="DB122" i="3"/>
  <c r="DC122" i="3"/>
  <c r="A123" i="3"/>
  <c r="CX123" i="3"/>
  <c r="CY123" i="3"/>
  <c r="CZ123" i="3"/>
  <c r="DB123" i="3" s="1"/>
  <c r="DA123" i="3"/>
  <c r="DC123" i="3"/>
  <c r="A124" i="3"/>
  <c r="CX124" i="3"/>
  <c r="CY124" i="3"/>
  <c r="CZ124" i="3"/>
  <c r="DB124" i="3" s="1"/>
  <c r="DA124" i="3"/>
  <c r="DC124" i="3"/>
  <c r="A125" i="3"/>
  <c r="CX125" i="3"/>
  <c r="CY125" i="3"/>
  <c r="CZ125" i="3"/>
  <c r="DA125" i="3"/>
  <c r="DB125" i="3"/>
  <c r="DC125" i="3"/>
  <c r="A126" i="3"/>
  <c r="CX126" i="3"/>
  <c r="CY126" i="3"/>
  <c r="CZ126" i="3"/>
  <c r="DA126" i="3"/>
  <c r="DB126" i="3"/>
  <c r="DC126" i="3"/>
  <c r="A127" i="3"/>
  <c r="CX127" i="3"/>
  <c r="CY127" i="3"/>
  <c r="CZ127" i="3"/>
  <c r="DB127" i="3" s="1"/>
  <c r="DA127" i="3"/>
  <c r="DC127" i="3"/>
  <c r="A128" i="3"/>
  <c r="CX128" i="3"/>
  <c r="CY128" i="3"/>
  <c r="CZ128" i="3"/>
  <c r="DB128" i="3" s="1"/>
  <c r="DA128" i="3"/>
  <c r="DC128" i="3"/>
  <c r="A129" i="3"/>
  <c r="CX129" i="3"/>
  <c r="CY129" i="3"/>
  <c r="CZ129" i="3"/>
  <c r="DA129" i="3"/>
  <c r="DB129" i="3"/>
  <c r="DC129" i="3"/>
  <c r="A130" i="3"/>
  <c r="CX130" i="3"/>
  <c r="CY130" i="3"/>
  <c r="CZ130" i="3"/>
  <c r="DA130" i="3"/>
  <c r="DB130" i="3"/>
  <c r="DC130" i="3"/>
  <c r="A131" i="3"/>
  <c r="CX131" i="3"/>
  <c r="CY131" i="3"/>
  <c r="CZ131" i="3"/>
  <c r="DB131" i="3" s="1"/>
  <c r="DA131" i="3"/>
  <c r="DC131" i="3"/>
  <c r="A132" i="3"/>
  <c r="CX132" i="3"/>
  <c r="CY132" i="3"/>
  <c r="CZ132" i="3"/>
  <c r="DB132" i="3" s="1"/>
  <c r="DA132" i="3"/>
  <c r="DC132" i="3"/>
  <c r="A133" i="3"/>
  <c r="CX133" i="3"/>
  <c r="CY133" i="3"/>
  <c r="CZ133" i="3"/>
  <c r="DA133" i="3"/>
  <c r="DB133" i="3"/>
  <c r="DC133" i="3"/>
  <c r="A134" i="3"/>
  <c r="CX134" i="3"/>
  <c r="CY134" i="3"/>
  <c r="CZ134" i="3"/>
  <c r="DA134" i="3"/>
  <c r="DB134" i="3"/>
  <c r="DC134" i="3"/>
  <c r="A135" i="3"/>
  <c r="CX135" i="3"/>
  <c r="CY135" i="3"/>
  <c r="CZ135" i="3"/>
  <c r="DB135" i="3" s="1"/>
  <c r="DA135" i="3"/>
  <c r="DC135" i="3"/>
  <c r="A136" i="3"/>
  <c r="CX136" i="3"/>
  <c r="CY136" i="3"/>
  <c r="CZ136" i="3"/>
  <c r="DB136" i="3" s="1"/>
  <c r="DA136" i="3"/>
  <c r="DC136" i="3"/>
  <c r="A137" i="3"/>
  <c r="CX137" i="3"/>
  <c r="CY137" i="3"/>
  <c r="CZ137" i="3"/>
  <c r="DA137" i="3"/>
  <c r="DB137" i="3"/>
  <c r="DC137" i="3"/>
  <c r="A138" i="3"/>
  <c r="CX138" i="3"/>
  <c r="CY138" i="3"/>
  <c r="CZ138" i="3"/>
  <c r="DA138" i="3"/>
  <c r="DB138" i="3"/>
  <c r="DC138" i="3"/>
  <c r="A139" i="3"/>
  <c r="CX139" i="3"/>
  <c r="CY139" i="3"/>
  <c r="CZ139" i="3"/>
  <c r="DB139" i="3" s="1"/>
  <c r="DA139" i="3"/>
  <c r="DC139" i="3"/>
  <c r="A140" i="3"/>
  <c r="CX140" i="3"/>
  <c r="CY140" i="3"/>
  <c r="CZ140" i="3"/>
  <c r="DB140" i="3" s="1"/>
  <c r="DA140" i="3"/>
  <c r="DC14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S24" i="1"/>
  <c r="AC24" i="1"/>
  <c r="AD24" i="1"/>
  <c r="CR24" i="1" s="1"/>
  <c r="Q24" i="1" s="1"/>
  <c r="AE24" i="1"/>
  <c r="AF24" i="1"/>
  <c r="AG24" i="1"/>
  <c r="CU24" i="1" s="1"/>
  <c r="T24" i="1" s="1"/>
  <c r="AH24" i="1"/>
  <c r="CV24" i="1" s="1"/>
  <c r="U24" i="1" s="1"/>
  <c r="AI24" i="1"/>
  <c r="AJ24" i="1"/>
  <c r="CS24" i="1"/>
  <c r="R24" i="1" s="1"/>
  <c r="CT24" i="1"/>
  <c r="CW24" i="1"/>
  <c r="V24" i="1" s="1"/>
  <c r="CX24" i="1"/>
  <c r="W24" i="1" s="1"/>
  <c r="FR24" i="1"/>
  <c r="GL24" i="1"/>
  <c r="GO24" i="1"/>
  <c r="GP24" i="1"/>
  <c r="GV24" i="1"/>
  <c r="HC24" i="1"/>
  <c r="GX24" i="1" s="1"/>
  <c r="C25" i="1"/>
  <c r="D25" i="1"/>
  <c r="AC25" i="1"/>
  <c r="AE25" i="1"/>
  <c r="AF25" i="1"/>
  <c r="CT25" i="1" s="1"/>
  <c r="S25" i="1" s="1"/>
  <c r="U48" i="7" s="1"/>
  <c r="AG25" i="1"/>
  <c r="CU25" i="1" s="1"/>
  <c r="T25" i="1" s="1"/>
  <c r="AH25" i="1"/>
  <c r="H51" i="7" s="1"/>
  <c r="AI25" i="1"/>
  <c r="CW25" i="1" s="1"/>
  <c r="V25" i="1" s="1"/>
  <c r="AJ25" i="1"/>
  <c r="CX25" i="1"/>
  <c r="W25" i="1" s="1"/>
  <c r="FR25" i="1"/>
  <c r="GL25" i="1"/>
  <c r="GO25" i="1"/>
  <c r="GP25" i="1"/>
  <c r="GV25" i="1"/>
  <c r="GX25" i="1"/>
  <c r="HC25" i="1"/>
  <c r="C26" i="1"/>
  <c r="D26" i="1"/>
  <c r="S26" i="1"/>
  <c r="W26" i="1"/>
  <c r="AC26" i="1"/>
  <c r="AE26" i="1"/>
  <c r="AF26" i="1"/>
  <c r="AG26" i="1"/>
  <c r="CU26" i="1" s="1"/>
  <c r="T26" i="1" s="1"/>
  <c r="AH26" i="1"/>
  <c r="AI26" i="1"/>
  <c r="CW26" i="1" s="1"/>
  <c r="V26" i="1" s="1"/>
  <c r="AJ26" i="1"/>
  <c r="CT26" i="1"/>
  <c r="CV26" i="1"/>
  <c r="U26" i="1" s="1"/>
  <c r="CX26" i="1"/>
  <c r="FR26" i="1"/>
  <c r="GL26" i="1"/>
  <c r="GN26" i="1"/>
  <c r="GP26" i="1"/>
  <c r="GV26" i="1"/>
  <c r="GX26" i="1"/>
  <c r="HC26" i="1"/>
  <c r="C27" i="1"/>
  <c r="D27" i="1"/>
  <c r="AC27" i="1"/>
  <c r="AE27" i="1"/>
  <c r="AF27" i="1"/>
  <c r="CT27" i="1" s="1"/>
  <c r="S27" i="1" s="1"/>
  <c r="U54" i="7" s="1"/>
  <c r="AG27" i="1"/>
  <c r="CU27" i="1" s="1"/>
  <c r="T27" i="1" s="1"/>
  <c r="AH27" i="1"/>
  <c r="AI27" i="1"/>
  <c r="CW27" i="1" s="1"/>
  <c r="V27" i="1" s="1"/>
  <c r="AJ27" i="1"/>
  <c r="CX27" i="1"/>
  <c r="W27" i="1" s="1"/>
  <c r="FR27" i="1"/>
  <c r="GL27" i="1"/>
  <c r="GN27" i="1"/>
  <c r="GP27" i="1"/>
  <c r="GV27" i="1"/>
  <c r="GX27" i="1"/>
  <c r="HC27" i="1"/>
  <c r="C28" i="1"/>
  <c r="D28" i="1"/>
  <c r="S28" i="1"/>
  <c r="AC28" i="1"/>
  <c r="AE28" i="1"/>
  <c r="AF28" i="1"/>
  <c r="AG28" i="1"/>
  <c r="CU28" i="1" s="1"/>
  <c r="T28" i="1" s="1"/>
  <c r="AH28" i="1"/>
  <c r="AI28" i="1"/>
  <c r="CW28" i="1" s="1"/>
  <c r="V28" i="1" s="1"/>
  <c r="AJ28" i="1"/>
  <c r="CT28" i="1"/>
  <c r="CV28" i="1"/>
  <c r="U28" i="1" s="1"/>
  <c r="CX28" i="1"/>
  <c r="W28" i="1" s="1"/>
  <c r="FR28" i="1"/>
  <c r="GL28" i="1"/>
  <c r="GN28" i="1"/>
  <c r="GO28" i="1"/>
  <c r="GV28" i="1"/>
  <c r="GX28" i="1"/>
  <c r="HC28" i="1"/>
  <c r="C29" i="1"/>
  <c r="D29" i="1"/>
  <c r="AC29" i="1"/>
  <c r="AE29" i="1"/>
  <c r="AF29" i="1"/>
  <c r="AG29" i="1"/>
  <c r="CU29" i="1" s="1"/>
  <c r="T29" i="1" s="1"/>
  <c r="AH29" i="1"/>
  <c r="AI29" i="1"/>
  <c r="CW29" i="1" s="1"/>
  <c r="V29" i="1" s="1"/>
  <c r="AJ29" i="1"/>
  <c r="CX29" i="1"/>
  <c r="W29" i="1" s="1"/>
  <c r="FR29" i="1"/>
  <c r="GL29" i="1"/>
  <c r="GN29" i="1"/>
  <c r="GO29" i="1"/>
  <c r="GV29" i="1"/>
  <c r="GX29" i="1"/>
  <c r="HC29" i="1"/>
  <c r="C30" i="1"/>
  <c r="D30" i="1"/>
  <c r="W30" i="1"/>
  <c r="AC30" i="1"/>
  <c r="AE30" i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FR30" i="1"/>
  <c r="GL30" i="1"/>
  <c r="GN30" i="1"/>
  <c r="GP30" i="1"/>
  <c r="GV30" i="1"/>
  <c r="GX30" i="1"/>
  <c r="HC30" i="1"/>
  <c r="C31" i="1"/>
  <c r="D31" i="1"/>
  <c r="W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FR31" i="1"/>
  <c r="GL31" i="1"/>
  <c r="GN31" i="1"/>
  <c r="GP31" i="1"/>
  <c r="GV31" i="1"/>
  <c r="GX31" i="1"/>
  <c r="HC31" i="1"/>
  <c r="C32" i="1"/>
  <c r="D32" i="1"/>
  <c r="W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FR32" i="1"/>
  <c r="GL32" i="1"/>
  <c r="GN32" i="1"/>
  <c r="GO32" i="1"/>
  <c r="GV32" i="1"/>
  <c r="GX32" i="1"/>
  <c r="HC32" i="1"/>
  <c r="C33" i="1"/>
  <c r="D33" i="1"/>
  <c r="AC33" i="1"/>
  <c r="AE33" i="1"/>
  <c r="AF33" i="1"/>
  <c r="AG33" i="1"/>
  <c r="CU33" i="1" s="1"/>
  <c r="T33" i="1" s="1"/>
  <c r="AH33" i="1"/>
  <c r="H81" i="7" s="1"/>
  <c r="AI33" i="1"/>
  <c r="CW33" i="1" s="1"/>
  <c r="V33" i="1" s="1"/>
  <c r="AJ33" i="1"/>
  <c r="CX33" i="1"/>
  <c r="W33" i="1" s="1"/>
  <c r="FR33" i="1"/>
  <c r="GL33" i="1"/>
  <c r="GN33" i="1"/>
  <c r="GO33" i="1"/>
  <c r="GV33" i="1"/>
  <c r="GX33" i="1"/>
  <c r="HC33" i="1"/>
  <c r="C34" i="1"/>
  <c r="D34" i="1"/>
  <c r="S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T34" i="1"/>
  <c r="CV34" i="1"/>
  <c r="U34" i="1" s="1"/>
  <c r="CX34" i="1"/>
  <c r="W34" i="1" s="1"/>
  <c r="FR34" i="1"/>
  <c r="GL34" i="1"/>
  <c r="GN34" i="1"/>
  <c r="GP34" i="1"/>
  <c r="GV34" i="1"/>
  <c r="GX34" i="1"/>
  <c r="HC34" i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/>
  <c r="HC35" i="1"/>
  <c r="C36" i="1"/>
  <c r="D36" i="1"/>
  <c r="S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CV36" i="1"/>
  <c r="U36" i="1" s="1"/>
  <c r="CX36" i="1"/>
  <c r="W36" i="1" s="1"/>
  <c r="FR36" i="1"/>
  <c r="GL36" i="1"/>
  <c r="GN36" i="1"/>
  <c r="GP36" i="1"/>
  <c r="GV36" i="1"/>
  <c r="HC36" i="1"/>
  <c r="GX36" i="1" s="1"/>
  <c r="C37" i="1"/>
  <c r="D37" i="1"/>
  <c r="AC37" i="1"/>
  <c r="CQ37" i="1" s="1"/>
  <c r="P37" i="1" s="1"/>
  <c r="U94" i="7" s="1"/>
  <c r="K94" i="7" s="1"/>
  <c r="AD37" i="1"/>
  <c r="CR37" i="1" s="1"/>
  <c r="Q37" i="1" s="1"/>
  <c r="AE37" i="1"/>
  <c r="AF37" i="1"/>
  <c r="AG37" i="1"/>
  <c r="AH37" i="1"/>
  <c r="AI37" i="1"/>
  <c r="AJ37" i="1"/>
  <c r="CS37" i="1"/>
  <c r="R37" i="1" s="1"/>
  <c r="CU37" i="1"/>
  <c r="T37" i="1" s="1"/>
  <c r="CW37" i="1"/>
  <c r="V37" i="1" s="1"/>
  <c r="CX37" i="1"/>
  <c r="W37" i="1" s="1"/>
  <c r="FR37" i="1"/>
  <c r="GL37" i="1"/>
  <c r="GN37" i="1"/>
  <c r="GP37" i="1"/>
  <c r="GV37" i="1"/>
  <c r="HC37" i="1" s="1"/>
  <c r="GX37" i="1" s="1"/>
  <c r="C38" i="1"/>
  <c r="D38" i="1"/>
  <c r="AC38" i="1"/>
  <c r="AE38" i="1"/>
  <c r="AD38" i="1" s="1"/>
  <c r="AF38" i="1"/>
  <c r="CT38" i="1" s="1"/>
  <c r="S38" i="1" s="1"/>
  <c r="AG38" i="1"/>
  <c r="AH38" i="1"/>
  <c r="AI38" i="1"/>
  <c r="AJ38" i="1"/>
  <c r="CX38" i="1" s="1"/>
  <c r="W38" i="1" s="1"/>
  <c r="CQ38" i="1"/>
  <c r="P38" i="1" s="1"/>
  <c r="CS38" i="1"/>
  <c r="R38" i="1" s="1"/>
  <c r="CU38" i="1"/>
  <c r="T38" i="1" s="1"/>
  <c r="CV38" i="1"/>
  <c r="U38" i="1" s="1"/>
  <c r="CW38" i="1"/>
  <c r="V38" i="1" s="1"/>
  <c r="FR38" i="1"/>
  <c r="GL38" i="1"/>
  <c r="GN38" i="1"/>
  <c r="GP38" i="1"/>
  <c r="GV38" i="1"/>
  <c r="HC38" i="1"/>
  <c r="GX38" i="1" s="1"/>
  <c r="C39" i="1"/>
  <c r="D39" i="1"/>
  <c r="AC39" i="1"/>
  <c r="CQ39" i="1" s="1"/>
  <c r="P39" i="1" s="1"/>
  <c r="U101" i="7" s="1"/>
  <c r="K101" i="7" s="1"/>
  <c r="AD39" i="1"/>
  <c r="CR39" i="1" s="1"/>
  <c r="Q39" i="1" s="1"/>
  <c r="AE39" i="1"/>
  <c r="AF39" i="1"/>
  <c r="AG39" i="1"/>
  <c r="AH39" i="1"/>
  <c r="AI39" i="1"/>
  <c r="AJ39" i="1"/>
  <c r="CS39" i="1"/>
  <c r="R39" i="1" s="1"/>
  <c r="CU39" i="1"/>
  <c r="T39" i="1" s="1"/>
  <c r="CW39" i="1"/>
  <c r="V39" i="1" s="1"/>
  <c r="CX39" i="1"/>
  <c r="W39" i="1" s="1"/>
  <c r="FR39" i="1"/>
  <c r="GL39" i="1"/>
  <c r="GN39" i="1"/>
  <c r="GP39" i="1"/>
  <c r="GV39" i="1"/>
  <c r="HC39" i="1" s="1"/>
  <c r="GX39" i="1" s="1"/>
  <c r="C40" i="1"/>
  <c r="D40" i="1"/>
  <c r="AC40" i="1"/>
  <c r="AE40" i="1"/>
  <c r="AD40" i="1" s="1"/>
  <c r="AF40" i="1"/>
  <c r="CT40" i="1" s="1"/>
  <c r="S40" i="1" s="1"/>
  <c r="AG40" i="1"/>
  <c r="AH40" i="1"/>
  <c r="AI40" i="1"/>
  <c r="AJ40" i="1"/>
  <c r="CX40" i="1" s="1"/>
  <c r="W40" i="1" s="1"/>
  <c r="CQ40" i="1"/>
  <c r="P40" i="1" s="1"/>
  <c r="CS40" i="1"/>
  <c r="R40" i="1" s="1"/>
  <c r="CU40" i="1"/>
  <c r="T40" i="1" s="1"/>
  <c r="CV40" i="1"/>
  <c r="U40" i="1" s="1"/>
  <c r="CW40" i="1"/>
  <c r="V40" i="1" s="1"/>
  <c r="FR40" i="1"/>
  <c r="GL40" i="1"/>
  <c r="GN40" i="1"/>
  <c r="GP40" i="1"/>
  <c r="GV40" i="1"/>
  <c r="HC40" i="1"/>
  <c r="GX40" i="1" s="1"/>
  <c r="C41" i="1"/>
  <c r="D41" i="1"/>
  <c r="AC41" i="1"/>
  <c r="AE41" i="1"/>
  <c r="AF41" i="1"/>
  <c r="AG41" i="1"/>
  <c r="AH41" i="1"/>
  <c r="AI41" i="1"/>
  <c r="AJ41" i="1"/>
  <c r="CU41" i="1"/>
  <c r="T41" i="1" s="1"/>
  <c r="CW41" i="1"/>
  <c r="V41" i="1" s="1"/>
  <c r="CX41" i="1"/>
  <c r="W41" i="1" s="1"/>
  <c r="FR41" i="1"/>
  <c r="GL41" i="1"/>
  <c r="GN41" i="1"/>
  <c r="GP41" i="1"/>
  <c r="GV41" i="1"/>
  <c r="HC41" i="1" s="1"/>
  <c r="GX41" i="1" s="1"/>
  <c r="C42" i="1"/>
  <c r="D42" i="1"/>
  <c r="AC42" i="1"/>
  <c r="AE42" i="1"/>
  <c r="AD42" i="1" s="1"/>
  <c r="AF42" i="1"/>
  <c r="CT42" i="1" s="1"/>
  <c r="S42" i="1" s="1"/>
  <c r="AG42" i="1"/>
  <c r="AH42" i="1"/>
  <c r="AI42" i="1"/>
  <c r="AJ42" i="1"/>
  <c r="CX42" i="1" s="1"/>
  <c r="W42" i="1" s="1"/>
  <c r="CQ42" i="1"/>
  <c r="P42" i="1" s="1"/>
  <c r="CS42" i="1"/>
  <c r="R42" i="1" s="1"/>
  <c r="CU42" i="1"/>
  <c r="T42" i="1" s="1"/>
  <c r="CV42" i="1"/>
  <c r="U42" i="1" s="1"/>
  <c r="CW42" i="1"/>
  <c r="V42" i="1" s="1"/>
  <c r="FR42" i="1"/>
  <c r="GL42" i="1"/>
  <c r="GN42" i="1"/>
  <c r="GO42" i="1"/>
  <c r="GV42" i="1"/>
  <c r="HC42" i="1"/>
  <c r="GX42" i="1" s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Q43" i="1"/>
  <c r="P43" i="1" s="1"/>
  <c r="CS43" i="1"/>
  <c r="R43" i="1" s="1"/>
  <c r="CU43" i="1"/>
  <c r="T43" i="1" s="1"/>
  <c r="CW43" i="1"/>
  <c r="V43" i="1" s="1"/>
  <c r="CX43" i="1"/>
  <c r="W43" i="1" s="1"/>
  <c r="FR43" i="1"/>
  <c r="GL43" i="1"/>
  <c r="GN43" i="1"/>
  <c r="GO43" i="1"/>
  <c r="GV43" i="1"/>
  <c r="HC43" i="1" s="1"/>
  <c r="GX43" i="1" s="1"/>
  <c r="C44" i="1"/>
  <c r="D44" i="1"/>
  <c r="V44" i="1"/>
  <c r="AC44" i="1"/>
  <c r="AE44" i="1"/>
  <c r="AD44" i="1" s="1"/>
  <c r="CR44" i="1" s="1"/>
  <c r="Q44" i="1" s="1"/>
  <c r="AF44" i="1"/>
  <c r="CT44" i="1" s="1"/>
  <c r="S44" i="1" s="1"/>
  <c r="AG44" i="1"/>
  <c r="AH44" i="1"/>
  <c r="AI44" i="1"/>
  <c r="AJ44" i="1"/>
  <c r="CX44" i="1" s="1"/>
  <c r="W44" i="1" s="1"/>
  <c r="CQ44" i="1"/>
  <c r="P44" i="1" s="1"/>
  <c r="CS44" i="1"/>
  <c r="R44" i="1" s="1"/>
  <c r="CU44" i="1"/>
  <c r="T44" i="1" s="1"/>
  <c r="CV44" i="1"/>
  <c r="U44" i="1" s="1"/>
  <c r="CW44" i="1"/>
  <c r="FR44" i="1"/>
  <c r="GL44" i="1"/>
  <c r="GN44" i="1"/>
  <c r="GP44" i="1"/>
  <c r="GV44" i="1"/>
  <c r="HC44" i="1"/>
  <c r="GX44" i="1" s="1"/>
  <c r="C45" i="1"/>
  <c r="D45" i="1"/>
  <c r="T45" i="1"/>
  <c r="AC45" i="1"/>
  <c r="AE45" i="1"/>
  <c r="AD45" i="1" s="1"/>
  <c r="AF45" i="1"/>
  <c r="AG45" i="1"/>
  <c r="AH45" i="1"/>
  <c r="AI45" i="1"/>
  <c r="AJ45" i="1"/>
  <c r="CU45" i="1"/>
  <c r="CW45" i="1"/>
  <c r="V45" i="1" s="1"/>
  <c r="CX45" i="1"/>
  <c r="W45" i="1" s="1"/>
  <c r="FR45" i="1"/>
  <c r="GL45" i="1"/>
  <c r="GN45" i="1"/>
  <c r="GP45" i="1"/>
  <c r="GV45" i="1"/>
  <c r="HC45" i="1"/>
  <c r="GX45" i="1" s="1"/>
  <c r="C46" i="1"/>
  <c r="D46" i="1"/>
  <c r="AC46" i="1"/>
  <c r="AE46" i="1"/>
  <c r="AD46" i="1" s="1"/>
  <c r="AF46" i="1"/>
  <c r="CT46" i="1" s="1"/>
  <c r="S46" i="1" s="1"/>
  <c r="AG46" i="1"/>
  <c r="AH46" i="1"/>
  <c r="AI46" i="1"/>
  <c r="CW46" i="1" s="1"/>
  <c r="V46" i="1" s="1"/>
  <c r="AJ46" i="1"/>
  <c r="CX46" i="1" s="1"/>
  <c r="W46" i="1" s="1"/>
  <c r="CQ46" i="1"/>
  <c r="P46" i="1" s="1"/>
  <c r="CU46" i="1"/>
  <c r="T46" i="1" s="1"/>
  <c r="CV46" i="1"/>
  <c r="U46" i="1" s="1"/>
  <c r="FR46" i="1"/>
  <c r="GL46" i="1"/>
  <c r="GN46" i="1"/>
  <c r="GP46" i="1"/>
  <c r="GV46" i="1"/>
  <c r="GX46" i="1"/>
  <c r="HC46" i="1"/>
  <c r="C47" i="1"/>
  <c r="D47" i="1"/>
  <c r="AC47" i="1"/>
  <c r="AD47" i="1"/>
  <c r="CR47" i="1" s="1"/>
  <c r="Q47" i="1" s="1"/>
  <c r="AE47" i="1"/>
  <c r="AF47" i="1"/>
  <c r="AG47" i="1"/>
  <c r="CU47" i="1" s="1"/>
  <c r="T47" i="1" s="1"/>
  <c r="AH47" i="1"/>
  <c r="AI47" i="1"/>
  <c r="AJ47" i="1"/>
  <c r="CS47" i="1"/>
  <c r="R47" i="1" s="1"/>
  <c r="CW47" i="1"/>
  <c r="V47" i="1" s="1"/>
  <c r="CX47" i="1"/>
  <c r="W47" i="1" s="1"/>
  <c r="FR47" i="1"/>
  <c r="GL47" i="1"/>
  <c r="GN47" i="1"/>
  <c r="GP47" i="1"/>
  <c r="GV47" i="1"/>
  <c r="HC47" i="1"/>
  <c r="GX47" i="1" s="1"/>
  <c r="C48" i="1"/>
  <c r="D48" i="1"/>
  <c r="AC48" i="1"/>
  <c r="AE48" i="1"/>
  <c r="AD48" i="1" s="1"/>
  <c r="AF48" i="1"/>
  <c r="CT48" i="1" s="1"/>
  <c r="S48" i="1" s="1"/>
  <c r="AG48" i="1"/>
  <c r="AH48" i="1"/>
  <c r="AI48" i="1"/>
  <c r="CW48" i="1" s="1"/>
  <c r="V48" i="1" s="1"/>
  <c r="AJ48" i="1"/>
  <c r="CX48" i="1" s="1"/>
  <c r="W48" i="1" s="1"/>
  <c r="CQ48" i="1"/>
  <c r="P48" i="1" s="1"/>
  <c r="CU48" i="1"/>
  <c r="T48" i="1" s="1"/>
  <c r="CV48" i="1"/>
  <c r="U48" i="1" s="1"/>
  <c r="FR48" i="1"/>
  <c r="GL48" i="1"/>
  <c r="GN48" i="1"/>
  <c r="GO48" i="1"/>
  <c r="GV48" i="1"/>
  <c r="HC48" i="1" s="1"/>
  <c r="GX48" i="1" s="1"/>
  <c r="C49" i="1"/>
  <c r="D49" i="1"/>
  <c r="AC49" i="1"/>
  <c r="AD49" i="1"/>
  <c r="CR49" i="1" s="1"/>
  <c r="Q49" i="1" s="1"/>
  <c r="AE49" i="1"/>
  <c r="AF49" i="1"/>
  <c r="AG49" i="1"/>
  <c r="CU49" i="1" s="1"/>
  <c r="T49" i="1" s="1"/>
  <c r="AH49" i="1"/>
  <c r="AI49" i="1"/>
  <c r="AJ49" i="1"/>
  <c r="CS49" i="1"/>
  <c r="R49" i="1" s="1"/>
  <c r="CW49" i="1"/>
  <c r="V49" i="1" s="1"/>
  <c r="CX49" i="1"/>
  <c r="W49" i="1" s="1"/>
  <c r="FR49" i="1"/>
  <c r="GL49" i="1"/>
  <c r="GN49" i="1"/>
  <c r="GO49" i="1"/>
  <c r="GV49" i="1"/>
  <c r="HC49" i="1"/>
  <c r="GX49" i="1" s="1"/>
  <c r="C50" i="1"/>
  <c r="D50" i="1"/>
  <c r="AC50" i="1"/>
  <c r="AE50" i="1"/>
  <c r="AD50" i="1" s="1"/>
  <c r="AF50" i="1"/>
  <c r="CT50" i="1" s="1"/>
  <c r="S50" i="1" s="1"/>
  <c r="AG50" i="1"/>
  <c r="AH50" i="1"/>
  <c r="AI50" i="1"/>
  <c r="CW50" i="1" s="1"/>
  <c r="V50" i="1" s="1"/>
  <c r="AJ50" i="1"/>
  <c r="CX50" i="1" s="1"/>
  <c r="W50" i="1" s="1"/>
  <c r="CQ50" i="1"/>
  <c r="P50" i="1" s="1"/>
  <c r="CU50" i="1"/>
  <c r="T50" i="1" s="1"/>
  <c r="CV50" i="1"/>
  <c r="U50" i="1" s="1"/>
  <c r="FR50" i="1"/>
  <c r="GL50" i="1"/>
  <c r="GN50" i="1"/>
  <c r="GO50" i="1"/>
  <c r="GV50" i="1"/>
  <c r="GX50" i="1"/>
  <c r="HC50" i="1"/>
  <c r="C51" i="1"/>
  <c r="D51" i="1"/>
  <c r="AC51" i="1"/>
  <c r="AD51" i="1"/>
  <c r="AE51" i="1"/>
  <c r="AF51" i="1"/>
  <c r="CT51" i="1" s="1"/>
  <c r="S51" i="1" s="1"/>
  <c r="U144" i="7" s="1"/>
  <c r="AG51" i="1"/>
  <c r="CU51" i="1" s="1"/>
  <c r="T51" i="1" s="1"/>
  <c r="AH51" i="1"/>
  <c r="AI51" i="1"/>
  <c r="AJ51" i="1"/>
  <c r="CR51" i="1"/>
  <c r="Q51" i="1" s="1"/>
  <c r="CS51" i="1"/>
  <c r="R51" i="1" s="1"/>
  <c r="CW51" i="1"/>
  <c r="V51" i="1" s="1"/>
  <c r="CX51" i="1"/>
  <c r="W51" i="1" s="1"/>
  <c r="FR51" i="1"/>
  <c r="GL51" i="1"/>
  <c r="GN51" i="1"/>
  <c r="GO51" i="1"/>
  <c r="GV51" i="1"/>
  <c r="HC51" i="1"/>
  <c r="GX51" i="1" s="1"/>
  <c r="AC52" i="1"/>
  <c r="AB52" i="1" s="1"/>
  <c r="AE52" i="1"/>
  <c r="AD52" i="1" s="1"/>
  <c r="CR52" i="1" s="1"/>
  <c r="Q52" i="1" s="1"/>
  <c r="AF52" i="1"/>
  <c r="AG52" i="1"/>
  <c r="CU52" i="1" s="1"/>
  <c r="T52" i="1" s="1"/>
  <c r="AH52" i="1"/>
  <c r="AI52" i="1"/>
  <c r="AJ52" i="1"/>
  <c r="CS52" i="1"/>
  <c r="R52" i="1" s="1"/>
  <c r="CT52" i="1"/>
  <c r="S52" i="1" s="1"/>
  <c r="CV52" i="1"/>
  <c r="U52" i="1" s="1"/>
  <c r="CW52" i="1"/>
  <c r="V52" i="1" s="1"/>
  <c r="CX52" i="1"/>
  <c r="W52" i="1" s="1"/>
  <c r="FR52" i="1"/>
  <c r="GL52" i="1"/>
  <c r="GO52" i="1"/>
  <c r="GP52" i="1"/>
  <c r="GV52" i="1"/>
  <c r="HC52" i="1"/>
  <c r="GX52" i="1" s="1"/>
  <c r="AC53" i="1"/>
  <c r="AE53" i="1"/>
  <c r="AD53" i="1" s="1"/>
  <c r="CR53" i="1" s="1"/>
  <c r="Q53" i="1" s="1"/>
  <c r="AF53" i="1"/>
  <c r="AG53" i="1"/>
  <c r="CU53" i="1" s="1"/>
  <c r="T53" i="1" s="1"/>
  <c r="AH53" i="1"/>
  <c r="AI53" i="1"/>
  <c r="AJ53" i="1"/>
  <c r="CS53" i="1"/>
  <c r="R53" i="1" s="1"/>
  <c r="CT53" i="1"/>
  <c r="S53" i="1" s="1"/>
  <c r="CV53" i="1"/>
  <c r="U53" i="1" s="1"/>
  <c r="CW53" i="1"/>
  <c r="V53" i="1" s="1"/>
  <c r="CX53" i="1"/>
  <c r="W53" i="1" s="1"/>
  <c r="FR53" i="1"/>
  <c r="GL53" i="1"/>
  <c r="GO53" i="1"/>
  <c r="GP53" i="1"/>
  <c r="GV53" i="1"/>
  <c r="HC53" i="1"/>
  <c r="GX53" i="1" s="1"/>
  <c r="AC54" i="1"/>
  <c r="AE54" i="1"/>
  <c r="AD54" i="1" s="1"/>
  <c r="CR54" i="1" s="1"/>
  <c r="Q54" i="1" s="1"/>
  <c r="AF54" i="1"/>
  <c r="AG54" i="1"/>
  <c r="CU54" i="1" s="1"/>
  <c r="T54" i="1" s="1"/>
  <c r="AH54" i="1"/>
  <c r="AI54" i="1"/>
  <c r="AJ54" i="1"/>
  <c r="CS54" i="1"/>
  <c r="R54" i="1" s="1"/>
  <c r="CT54" i="1"/>
  <c r="S54" i="1" s="1"/>
  <c r="CV54" i="1"/>
  <c r="U54" i="1" s="1"/>
  <c r="CW54" i="1"/>
  <c r="V54" i="1" s="1"/>
  <c r="CX54" i="1"/>
  <c r="W54" i="1" s="1"/>
  <c r="FR54" i="1"/>
  <c r="GL54" i="1"/>
  <c r="GO54" i="1"/>
  <c r="GP54" i="1"/>
  <c r="GV54" i="1"/>
  <c r="HC54" i="1"/>
  <c r="GX54" i="1" s="1"/>
  <c r="AC55" i="1"/>
  <c r="AE55" i="1"/>
  <c r="AD55" i="1" s="1"/>
  <c r="CR55" i="1" s="1"/>
  <c r="Q55" i="1" s="1"/>
  <c r="AF55" i="1"/>
  <c r="AG55" i="1"/>
  <c r="CU55" i="1" s="1"/>
  <c r="T55" i="1" s="1"/>
  <c r="AH55" i="1"/>
  <c r="AI55" i="1"/>
  <c r="AJ55" i="1"/>
  <c r="CS55" i="1"/>
  <c r="R55" i="1" s="1"/>
  <c r="CT55" i="1"/>
  <c r="S55" i="1" s="1"/>
  <c r="CV55" i="1"/>
  <c r="U55" i="1" s="1"/>
  <c r="CW55" i="1"/>
  <c r="V55" i="1" s="1"/>
  <c r="CX55" i="1"/>
  <c r="W55" i="1" s="1"/>
  <c r="FR55" i="1"/>
  <c r="GL55" i="1"/>
  <c r="GO55" i="1"/>
  <c r="GP55" i="1"/>
  <c r="GV55" i="1"/>
  <c r="HC55" i="1"/>
  <c r="GX55" i="1" s="1"/>
  <c r="AC56" i="1"/>
  <c r="AE56" i="1"/>
  <c r="AD56" i="1" s="1"/>
  <c r="CR56" i="1" s="1"/>
  <c r="Q56" i="1" s="1"/>
  <c r="AF56" i="1"/>
  <c r="AG56" i="1"/>
  <c r="CU56" i="1" s="1"/>
  <c r="T56" i="1" s="1"/>
  <c r="AH56" i="1"/>
  <c r="AI56" i="1"/>
  <c r="AJ56" i="1"/>
  <c r="CS56" i="1"/>
  <c r="R56" i="1" s="1"/>
  <c r="CT56" i="1"/>
  <c r="S56" i="1" s="1"/>
  <c r="CV56" i="1"/>
  <c r="U56" i="1" s="1"/>
  <c r="CW56" i="1"/>
  <c r="V56" i="1" s="1"/>
  <c r="CX56" i="1"/>
  <c r="W56" i="1" s="1"/>
  <c r="FR56" i="1"/>
  <c r="GL56" i="1"/>
  <c r="GO56" i="1"/>
  <c r="GP56" i="1"/>
  <c r="GV56" i="1"/>
  <c r="HC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AJ57" i="1"/>
  <c r="CS57" i="1"/>
  <c r="R57" i="1" s="1"/>
  <c r="CT57" i="1"/>
  <c r="S57" i="1" s="1"/>
  <c r="CV57" i="1"/>
  <c r="U57" i="1" s="1"/>
  <c r="CW57" i="1"/>
  <c r="V57" i="1" s="1"/>
  <c r="CX57" i="1"/>
  <c r="W57" i="1" s="1"/>
  <c r="FR57" i="1"/>
  <c r="GL57" i="1"/>
  <c r="GO57" i="1"/>
  <c r="GP57" i="1"/>
  <c r="GV57" i="1"/>
  <c r="HC57" i="1"/>
  <c r="GX57" i="1" s="1"/>
  <c r="AC58" i="1"/>
  <c r="AE58" i="1"/>
  <c r="AD58" i="1" s="1"/>
  <c r="CR58" i="1" s="1"/>
  <c r="Q58" i="1" s="1"/>
  <c r="AF58" i="1"/>
  <c r="AG58" i="1"/>
  <c r="CU58" i="1" s="1"/>
  <c r="T58" i="1" s="1"/>
  <c r="AH58" i="1"/>
  <c r="AI58" i="1"/>
  <c r="AJ58" i="1"/>
  <c r="CS58" i="1"/>
  <c r="R58" i="1" s="1"/>
  <c r="CT58" i="1"/>
  <c r="S58" i="1" s="1"/>
  <c r="CV58" i="1"/>
  <c r="U58" i="1" s="1"/>
  <c r="CW58" i="1"/>
  <c r="V58" i="1" s="1"/>
  <c r="CX58" i="1"/>
  <c r="W58" i="1" s="1"/>
  <c r="FR58" i="1"/>
  <c r="GL58" i="1"/>
  <c r="GO58" i="1"/>
  <c r="GP58" i="1"/>
  <c r="GV58" i="1"/>
  <c r="HC58" i="1"/>
  <c r="GX58" i="1" s="1"/>
  <c r="AC59" i="1"/>
  <c r="AE59" i="1"/>
  <c r="AD59" i="1" s="1"/>
  <c r="CR59" i="1" s="1"/>
  <c r="Q59" i="1" s="1"/>
  <c r="AF59" i="1"/>
  <c r="AG59" i="1"/>
  <c r="CU59" i="1" s="1"/>
  <c r="T59" i="1" s="1"/>
  <c r="AH59" i="1"/>
  <c r="AI59" i="1"/>
  <c r="AJ59" i="1"/>
  <c r="CS59" i="1"/>
  <c r="R59" i="1" s="1"/>
  <c r="CT59" i="1"/>
  <c r="S59" i="1" s="1"/>
  <c r="CV59" i="1"/>
  <c r="U59" i="1" s="1"/>
  <c r="CW59" i="1"/>
  <c r="V59" i="1" s="1"/>
  <c r="CX59" i="1"/>
  <c r="W59" i="1" s="1"/>
  <c r="FR59" i="1"/>
  <c r="GL59" i="1"/>
  <c r="GO59" i="1"/>
  <c r="GP59" i="1"/>
  <c r="GV59" i="1"/>
  <c r="HC59" i="1"/>
  <c r="GX59" i="1" s="1"/>
  <c r="AC60" i="1"/>
  <c r="AE60" i="1"/>
  <c r="AD60" i="1" s="1"/>
  <c r="CR60" i="1" s="1"/>
  <c r="Q60" i="1" s="1"/>
  <c r="AF60" i="1"/>
  <c r="AG60" i="1"/>
  <c r="CU60" i="1" s="1"/>
  <c r="T60" i="1" s="1"/>
  <c r="AH60" i="1"/>
  <c r="AI60" i="1"/>
  <c r="AJ60" i="1"/>
  <c r="CS60" i="1"/>
  <c r="R60" i="1" s="1"/>
  <c r="CT60" i="1"/>
  <c r="S60" i="1" s="1"/>
  <c r="CV60" i="1"/>
  <c r="U60" i="1" s="1"/>
  <c r="CW60" i="1"/>
  <c r="V60" i="1" s="1"/>
  <c r="CX60" i="1"/>
  <c r="W60" i="1" s="1"/>
  <c r="FR60" i="1"/>
  <c r="GL60" i="1"/>
  <c r="GO60" i="1"/>
  <c r="GP60" i="1"/>
  <c r="GV60" i="1"/>
  <c r="HC60" i="1"/>
  <c r="GX60" i="1" s="1"/>
  <c r="AC61" i="1"/>
  <c r="AE61" i="1"/>
  <c r="AD61" i="1" s="1"/>
  <c r="CR61" i="1" s="1"/>
  <c r="Q61" i="1" s="1"/>
  <c r="AF61" i="1"/>
  <c r="AG61" i="1"/>
  <c r="CU61" i="1" s="1"/>
  <c r="T61" i="1" s="1"/>
  <c r="AH61" i="1"/>
  <c r="AI61" i="1"/>
  <c r="AJ61" i="1"/>
  <c r="CS61" i="1"/>
  <c r="R61" i="1" s="1"/>
  <c r="CT61" i="1"/>
  <c r="S61" i="1" s="1"/>
  <c r="CV61" i="1"/>
  <c r="U61" i="1" s="1"/>
  <c r="CW61" i="1"/>
  <c r="V61" i="1" s="1"/>
  <c r="CX61" i="1"/>
  <c r="W61" i="1" s="1"/>
  <c r="FR61" i="1"/>
  <c r="GL61" i="1"/>
  <c r="GO61" i="1"/>
  <c r="GP61" i="1"/>
  <c r="GV61" i="1"/>
  <c r="HC61" i="1"/>
  <c r="GX61" i="1" s="1"/>
  <c r="S62" i="1"/>
  <c r="W62" i="1"/>
  <c r="AC62" i="1"/>
  <c r="AE62" i="1"/>
  <c r="AD62" i="1" s="1"/>
  <c r="CR62" i="1" s="1"/>
  <c r="Q62" i="1" s="1"/>
  <c r="AF62" i="1"/>
  <c r="AG62" i="1"/>
  <c r="CU62" i="1" s="1"/>
  <c r="T62" i="1" s="1"/>
  <c r="AH62" i="1"/>
  <c r="AI62" i="1"/>
  <c r="AJ62" i="1"/>
  <c r="CS62" i="1"/>
  <c r="R62" i="1" s="1"/>
  <c r="CT62" i="1"/>
  <c r="CV62" i="1"/>
  <c r="U62" i="1" s="1"/>
  <c r="CW62" i="1"/>
  <c r="V62" i="1" s="1"/>
  <c r="CX62" i="1"/>
  <c r="FR62" i="1"/>
  <c r="GL62" i="1"/>
  <c r="GO62" i="1"/>
  <c r="GP62" i="1"/>
  <c r="GV62" i="1"/>
  <c r="HC62" i="1"/>
  <c r="GX62" i="1" s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AJ63" i="1"/>
  <c r="CS63" i="1"/>
  <c r="R63" i="1" s="1"/>
  <c r="CT63" i="1"/>
  <c r="S63" i="1" s="1"/>
  <c r="CV63" i="1"/>
  <c r="U63" i="1" s="1"/>
  <c r="CW63" i="1"/>
  <c r="V63" i="1" s="1"/>
  <c r="CX63" i="1"/>
  <c r="W63" i="1" s="1"/>
  <c r="FR63" i="1"/>
  <c r="GL63" i="1"/>
  <c r="GO63" i="1"/>
  <c r="GP63" i="1"/>
  <c r="GV63" i="1"/>
  <c r="HC63" i="1"/>
  <c r="GX63" i="1" s="1"/>
  <c r="S64" i="1"/>
  <c r="AC64" i="1"/>
  <c r="AD64" i="1"/>
  <c r="AE64" i="1"/>
  <c r="AF64" i="1"/>
  <c r="AG64" i="1"/>
  <c r="CU64" i="1" s="1"/>
  <c r="T64" i="1" s="1"/>
  <c r="AH64" i="1"/>
  <c r="AI64" i="1"/>
  <c r="AJ64" i="1"/>
  <c r="CR64" i="1"/>
  <c r="Q64" i="1" s="1"/>
  <c r="CS64" i="1"/>
  <c r="R64" i="1" s="1"/>
  <c r="CT64" i="1"/>
  <c r="CV64" i="1"/>
  <c r="U64" i="1" s="1"/>
  <c r="CW64" i="1"/>
  <c r="V64" i="1" s="1"/>
  <c r="CX64" i="1"/>
  <c r="W64" i="1" s="1"/>
  <c r="FR64" i="1"/>
  <c r="GL64" i="1"/>
  <c r="GO64" i="1"/>
  <c r="GP64" i="1"/>
  <c r="GV64" i="1"/>
  <c r="HC64" i="1"/>
  <c r="GX64" i="1" s="1"/>
  <c r="S65" i="1"/>
  <c r="AC65" i="1"/>
  <c r="AE65" i="1"/>
  <c r="AD65" i="1" s="1"/>
  <c r="CR65" i="1" s="1"/>
  <c r="Q65" i="1" s="1"/>
  <c r="AF65" i="1"/>
  <c r="AG65" i="1"/>
  <c r="CU65" i="1" s="1"/>
  <c r="T65" i="1" s="1"/>
  <c r="AH65" i="1"/>
  <c r="AI65" i="1"/>
  <c r="AJ65" i="1"/>
  <c r="CS65" i="1"/>
  <c r="R65" i="1" s="1"/>
  <c r="CT65" i="1"/>
  <c r="CV65" i="1"/>
  <c r="U65" i="1" s="1"/>
  <c r="CW65" i="1"/>
  <c r="V65" i="1" s="1"/>
  <c r="CX65" i="1"/>
  <c r="W65" i="1" s="1"/>
  <c r="FR65" i="1"/>
  <c r="GL65" i="1"/>
  <c r="GO65" i="1"/>
  <c r="GP65" i="1"/>
  <c r="GV65" i="1"/>
  <c r="HC65" i="1"/>
  <c r="GX65" i="1" s="1"/>
  <c r="AC66" i="1"/>
  <c r="AE66" i="1"/>
  <c r="AD66" i="1" s="1"/>
  <c r="CR66" i="1" s="1"/>
  <c r="Q66" i="1" s="1"/>
  <c r="AF66" i="1"/>
  <c r="AG66" i="1"/>
  <c r="CU66" i="1" s="1"/>
  <c r="T66" i="1" s="1"/>
  <c r="AH66" i="1"/>
  <c r="AI66" i="1"/>
  <c r="AJ66" i="1"/>
  <c r="CS66" i="1"/>
  <c r="R66" i="1" s="1"/>
  <c r="CT66" i="1"/>
  <c r="S66" i="1" s="1"/>
  <c r="CV66" i="1"/>
  <c r="U66" i="1" s="1"/>
  <c r="CW66" i="1"/>
  <c r="V66" i="1" s="1"/>
  <c r="CX66" i="1"/>
  <c r="W66" i="1" s="1"/>
  <c r="FR66" i="1"/>
  <c r="GL66" i="1"/>
  <c r="GO66" i="1"/>
  <c r="GP66" i="1"/>
  <c r="GV66" i="1"/>
  <c r="HC66" i="1"/>
  <c r="GX66" i="1" s="1"/>
  <c r="R67" i="1"/>
  <c r="AC67" i="1"/>
  <c r="AE67" i="1"/>
  <c r="AD67" i="1" s="1"/>
  <c r="CR67" i="1" s="1"/>
  <c r="Q67" i="1" s="1"/>
  <c r="AF67" i="1"/>
  <c r="AG67" i="1"/>
  <c r="CU67" i="1" s="1"/>
  <c r="T67" i="1" s="1"/>
  <c r="AH67" i="1"/>
  <c r="AI67" i="1"/>
  <c r="AJ67" i="1"/>
  <c r="CS67" i="1"/>
  <c r="CT67" i="1"/>
  <c r="S67" i="1" s="1"/>
  <c r="CV67" i="1"/>
  <c r="U67" i="1" s="1"/>
  <c r="CW67" i="1"/>
  <c r="V67" i="1" s="1"/>
  <c r="CX67" i="1"/>
  <c r="W67" i="1" s="1"/>
  <c r="FR67" i="1"/>
  <c r="GL67" i="1"/>
  <c r="GO67" i="1"/>
  <c r="GP67" i="1"/>
  <c r="GV67" i="1"/>
  <c r="GX67" i="1"/>
  <c r="HC67" i="1"/>
  <c r="AC68" i="1"/>
  <c r="CQ68" i="1" s="1"/>
  <c r="P68" i="1" s="1"/>
  <c r="AE68" i="1"/>
  <c r="AD68" i="1" s="1"/>
  <c r="CR68" i="1" s="1"/>
  <c r="Q68" i="1" s="1"/>
  <c r="AF68" i="1"/>
  <c r="AG68" i="1"/>
  <c r="CU68" i="1" s="1"/>
  <c r="T68" i="1" s="1"/>
  <c r="AH68" i="1"/>
  <c r="AI68" i="1"/>
  <c r="CW68" i="1" s="1"/>
  <c r="V68" i="1" s="1"/>
  <c r="AJ68" i="1"/>
  <c r="CT68" i="1"/>
  <c r="S68" i="1" s="1"/>
  <c r="CV68" i="1"/>
  <c r="U68" i="1" s="1"/>
  <c r="CX68" i="1"/>
  <c r="W68" i="1" s="1"/>
  <c r="FR68" i="1"/>
  <c r="GL68" i="1"/>
  <c r="GO68" i="1"/>
  <c r="GP68" i="1"/>
  <c r="GV68" i="1"/>
  <c r="GX68" i="1"/>
  <c r="HC68" i="1"/>
  <c r="AC69" i="1"/>
  <c r="AE69" i="1"/>
  <c r="AD69" i="1" s="1"/>
  <c r="CR69" i="1" s="1"/>
  <c r="Q69" i="1" s="1"/>
  <c r="AF69" i="1"/>
  <c r="AG69" i="1"/>
  <c r="CU69" i="1" s="1"/>
  <c r="T69" i="1" s="1"/>
  <c r="AH69" i="1"/>
  <c r="AI69" i="1"/>
  <c r="CW69" i="1" s="1"/>
  <c r="V69" i="1" s="1"/>
  <c r="AJ69" i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/>
  <c r="HC69" i="1"/>
  <c r="AC70" i="1"/>
  <c r="CQ70" i="1" s="1"/>
  <c r="P70" i="1" s="1"/>
  <c r="AE70" i="1"/>
  <c r="AD70" i="1" s="1"/>
  <c r="CR70" i="1" s="1"/>
  <c r="Q70" i="1" s="1"/>
  <c r="AF70" i="1"/>
  <c r="AG70" i="1"/>
  <c r="CU70" i="1" s="1"/>
  <c r="T70" i="1" s="1"/>
  <c r="AH70" i="1"/>
  <c r="AI70" i="1"/>
  <c r="CW70" i="1" s="1"/>
  <c r="V70" i="1" s="1"/>
  <c r="AJ70" i="1"/>
  <c r="CT70" i="1"/>
  <c r="S70" i="1" s="1"/>
  <c r="CV70" i="1"/>
  <c r="U70" i="1" s="1"/>
  <c r="CX70" i="1"/>
  <c r="W70" i="1" s="1"/>
  <c r="FR70" i="1"/>
  <c r="GL70" i="1"/>
  <c r="GO70" i="1"/>
  <c r="GP70" i="1"/>
  <c r="GV70" i="1"/>
  <c r="GX70" i="1"/>
  <c r="HC70" i="1"/>
  <c r="AC71" i="1"/>
  <c r="AE71" i="1"/>
  <c r="AD71" i="1" s="1"/>
  <c r="CR71" i="1" s="1"/>
  <c r="Q71" i="1" s="1"/>
  <c r="AF71" i="1"/>
  <c r="AG71" i="1"/>
  <c r="CU71" i="1" s="1"/>
  <c r="T71" i="1" s="1"/>
  <c r="AH71" i="1"/>
  <c r="AI71" i="1"/>
  <c r="CW71" i="1" s="1"/>
  <c r="V71" i="1" s="1"/>
  <c r="AJ71" i="1"/>
  <c r="CT71" i="1"/>
  <c r="S71" i="1" s="1"/>
  <c r="CV71" i="1"/>
  <c r="U71" i="1" s="1"/>
  <c r="CX71" i="1"/>
  <c r="W71" i="1" s="1"/>
  <c r="FR71" i="1"/>
  <c r="GL71" i="1"/>
  <c r="GO71" i="1"/>
  <c r="GP71" i="1"/>
  <c r="GV71" i="1"/>
  <c r="GX71" i="1"/>
  <c r="HC71" i="1"/>
  <c r="AC72" i="1"/>
  <c r="CQ72" i="1" s="1"/>
  <c r="P72" i="1" s="1"/>
  <c r="AE72" i="1"/>
  <c r="AD72" i="1" s="1"/>
  <c r="AF72" i="1"/>
  <c r="AG72" i="1"/>
  <c r="CU72" i="1" s="1"/>
  <c r="T72" i="1" s="1"/>
  <c r="AH72" i="1"/>
  <c r="AI72" i="1"/>
  <c r="CW72" i="1" s="1"/>
  <c r="V72" i="1" s="1"/>
  <c r="AJ72" i="1"/>
  <c r="CR72" i="1"/>
  <c r="Q72" i="1" s="1"/>
  <c r="CT72" i="1"/>
  <c r="S72" i="1" s="1"/>
  <c r="CV72" i="1"/>
  <c r="U72" i="1" s="1"/>
  <c r="CX72" i="1"/>
  <c r="W72" i="1" s="1"/>
  <c r="FR72" i="1"/>
  <c r="GL72" i="1"/>
  <c r="GO72" i="1"/>
  <c r="GP72" i="1"/>
  <c r="GV72" i="1"/>
  <c r="GX72" i="1"/>
  <c r="HC72" i="1"/>
  <c r="U73" i="1"/>
  <c r="AC73" i="1"/>
  <c r="AE73" i="1"/>
  <c r="AF73" i="1"/>
  <c r="AG73" i="1"/>
  <c r="CU73" i="1" s="1"/>
  <c r="T73" i="1" s="1"/>
  <c r="AH73" i="1"/>
  <c r="AI73" i="1"/>
  <c r="CW73" i="1" s="1"/>
  <c r="V73" i="1" s="1"/>
  <c r="AJ73" i="1"/>
  <c r="CT73" i="1"/>
  <c r="S73" i="1" s="1"/>
  <c r="CV73" i="1"/>
  <c r="CX73" i="1"/>
  <c r="W73" i="1" s="1"/>
  <c r="FR73" i="1"/>
  <c r="GL73" i="1"/>
  <c r="GO73" i="1"/>
  <c r="GP73" i="1"/>
  <c r="GV73" i="1"/>
  <c r="GX73" i="1"/>
  <c r="HC73" i="1"/>
  <c r="S74" i="1"/>
  <c r="AC74" i="1"/>
  <c r="AE74" i="1"/>
  <c r="AF74" i="1"/>
  <c r="AG74" i="1"/>
  <c r="CU74" i="1" s="1"/>
  <c r="T74" i="1" s="1"/>
  <c r="AH74" i="1"/>
  <c r="AI74" i="1"/>
  <c r="AJ74" i="1"/>
  <c r="CT74" i="1"/>
  <c r="CV74" i="1"/>
  <c r="U74" i="1" s="1"/>
  <c r="CW74" i="1"/>
  <c r="V74" i="1" s="1"/>
  <c r="CX74" i="1"/>
  <c r="W74" i="1" s="1"/>
  <c r="FR74" i="1"/>
  <c r="GL74" i="1"/>
  <c r="GO74" i="1"/>
  <c r="GP74" i="1"/>
  <c r="GV74" i="1"/>
  <c r="GX74" i="1"/>
  <c r="HC74" i="1"/>
  <c r="AC75" i="1"/>
  <c r="AE75" i="1"/>
  <c r="AD75" i="1" s="1"/>
  <c r="AF75" i="1"/>
  <c r="AG75" i="1"/>
  <c r="CU75" i="1" s="1"/>
  <c r="T75" i="1" s="1"/>
  <c r="AH75" i="1"/>
  <c r="AI75" i="1"/>
  <c r="AJ75" i="1"/>
  <c r="CS75" i="1"/>
  <c r="R75" i="1" s="1"/>
  <c r="CT75" i="1"/>
  <c r="S75" i="1" s="1"/>
  <c r="CV75" i="1"/>
  <c r="U75" i="1" s="1"/>
  <c r="CW75" i="1"/>
  <c r="V75" i="1" s="1"/>
  <c r="CX75" i="1"/>
  <c r="W75" i="1" s="1"/>
  <c r="FR75" i="1"/>
  <c r="GL75" i="1"/>
  <c r="GO75" i="1"/>
  <c r="GP75" i="1"/>
  <c r="GV75" i="1"/>
  <c r="GX75" i="1"/>
  <c r="HC75" i="1"/>
  <c r="AC76" i="1"/>
  <c r="AB76" i="1" s="1"/>
  <c r="AE76" i="1"/>
  <c r="AD76" i="1" s="1"/>
  <c r="AF76" i="1"/>
  <c r="AG76" i="1"/>
  <c r="AH76" i="1"/>
  <c r="AI76" i="1"/>
  <c r="CW76" i="1" s="1"/>
  <c r="V76" i="1" s="1"/>
  <c r="AJ76" i="1"/>
  <c r="CQ76" i="1"/>
  <c r="P76" i="1" s="1"/>
  <c r="CR76" i="1"/>
  <c r="Q76" i="1" s="1"/>
  <c r="CT76" i="1"/>
  <c r="S76" i="1" s="1"/>
  <c r="CU76" i="1"/>
  <c r="T76" i="1" s="1"/>
  <c r="CV76" i="1"/>
  <c r="U76" i="1" s="1"/>
  <c r="CX76" i="1"/>
  <c r="W76" i="1" s="1"/>
  <c r="FR76" i="1"/>
  <c r="GL76" i="1"/>
  <c r="GO76" i="1"/>
  <c r="GP76" i="1"/>
  <c r="GV76" i="1"/>
  <c r="HC76" i="1" s="1"/>
  <c r="GX76" i="1" s="1"/>
  <c r="AC77" i="1"/>
  <c r="CQ77" i="1" s="1"/>
  <c r="P77" i="1" s="1"/>
  <c r="AD77" i="1"/>
  <c r="CR77" i="1" s="1"/>
  <c r="Q77" i="1" s="1"/>
  <c r="AE77" i="1"/>
  <c r="CS77" i="1" s="1"/>
  <c r="R77" i="1" s="1"/>
  <c r="AF77" i="1"/>
  <c r="AG77" i="1"/>
  <c r="AH77" i="1"/>
  <c r="CV77" i="1" s="1"/>
  <c r="U77" i="1" s="1"/>
  <c r="AI77" i="1"/>
  <c r="CW77" i="1" s="1"/>
  <c r="V77" i="1" s="1"/>
  <c r="AJ77" i="1"/>
  <c r="CT77" i="1"/>
  <c r="S77" i="1" s="1"/>
  <c r="CU77" i="1"/>
  <c r="T77" i="1" s="1"/>
  <c r="CX77" i="1"/>
  <c r="W77" i="1" s="1"/>
  <c r="FR77" i="1"/>
  <c r="GL77" i="1"/>
  <c r="GO77" i="1"/>
  <c r="GP77" i="1"/>
  <c r="GV77" i="1"/>
  <c r="HC77" i="1" s="1"/>
  <c r="GX77" i="1" s="1"/>
  <c r="AC78" i="1"/>
  <c r="AB78" i="1" s="1"/>
  <c r="AD78" i="1"/>
  <c r="CR78" i="1" s="1"/>
  <c r="Q78" i="1" s="1"/>
  <c r="AE78" i="1"/>
  <c r="CS78" i="1" s="1"/>
  <c r="R78" i="1" s="1"/>
  <c r="AF78" i="1"/>
  <c r="AG78" i="1"/>
  <c r="CU78" i="1" s="1"/>
  <c r="T78" i="1" s="1"/>
  <c r="AH78" i="1"/>
  <c r="CV78" i="1" s="1"/>
  <c r="U78" i="1" s="1"/>
  <c r="AI78" i="1"/>
  <c r="CW78" i="1" s="1"/>
  <c r="V78" i="1" s="1"/>
  <c r="AJ78" i="1"/>
  <c r="CT78" i="1"/>
  <c r="S78" i="1" s="1"/>
  <c r="CX78" i="1"/>
  <c r="W78" i="1" s="1"/>
  <c r="FR78" i="1"/>
  <c r="GL78" i="1"/>
  <c r="GO78" i="1"/>
  <c r="GP78" i="1"/>
  <c r="GV78" i="1"/>
  <c r="HC78" i="1" s="1"/>
  <c r="GX78" i="1" s="1"/>
  <c r="AC79" i="1"/>
  <c r="AD79" i="1"/>
  <c r="CR79" i="1" s="1"/>
  <c r="Q79" i="1" s="1"/>
  <c r="AE79" i="1"/>
  <c r="CS79" i="1" s="1"/>
  <c r="R79" i="1" s="1"/>
  <c r="AF79" i="1"/>
  <c r="AG79" i="1"/>
  <c r="CU79" i="1" s="1"/>
  <c r="T79" i="1" s="1"/>
  <c r="AH79" i="1"/>
  <c r="CV79" i="1" s="1"/>
  <c r="U79" i="1" s="1"/>
  <c r="AI79" i="1"/>
  <c r="CW79" i="1" s="1"/>
  <c r="V79" i="1" s="1"/>
  <c r="AJ79" i="1"/>
  <c r="CT79" i="1"/>
  <c r="S79" i="1" s="1"/>
  <c r="CX79" i="1"/>
  <c r="W79" i="1" s="1"/>
  <c r="FR79" i="1"/>
  <c r="GL79" i="1"/>
  <c r="GO79" i="1"/>
  <c r="GP79" i="1"/>
  <c r="GV79" i="1"/>
  <c r="HC79" i="1" s="1"/>
  <c r="GX79" i="1" s="1"/>
  <c r="AC80" i="1"/>
  <c r="AB80" i="1" s="1"/>
  <c r="AD80" i="1"/>
  <c r="CR80" i="1" s="1"/>
  <c r="Q80" i="1" s="1"/>
  <c r="AE80" i="1"/>
  <c r="CS80" i="1" s="1"/>
  <c r="R80" i="1" s="1"/>
  <c r="AF80" i="1"/>
  <c r="AG80" i="1"/>
  <c r="CU80" i="1" s="1"/>
  <c r="T80" i="1" s="1"/>
  <c r="AH80" i="1"/>
  <c r="CV80" i="1" s="1"/>
  <c r="U80" i="1" s="1"/>
  <c r="AI80" i="1"/>
  <c r="CW80" i="1" s="1"/>
  <c r="V80" i="1" s="1"/>
  <c r="AJ80" i="1"/>
  <c r="CT80" i="1"/>
  <c r="S80" i="1" s="1"/>
  <c r="CX80" i="1"/>
  <c r="W80" i="1" s="1"/>
  <c r="FR80" i="1"/>
  <c r="GL80" i="1"/>
  <c r="GO80" i="1"/>
  <c r="GP80" i="1"/>
  <c r="GV80" i="1"/>
  <c r="HC80" i="1" s="1"/>
  <c r="GX80" i="1" s="1"/>
  <c r="AC81" i="1"/>
  <c r="AE81" i="1"/>
  <c r="CS81" i="1" s="1"/>
  <c r="R81" i="1" s="1"/>
  <c r="AF81" i="1"/>
  <c r="AG81" i="1"/>
  <c r="CU81" i="1" s="1"/>
  <c r="T81" i="1" s="1"/>
  <c r="AH81" i="1"/>
  <c r="AI81" i="1"/>
  <c r="CW81" i="1" s="1"/>
  <c r="V81" i="1" s="1"/>
  <c r="AJ81" i="1"/>
  <c r="CT81" i="1"/>
  <c r="S81" i="1" s="1"/>
  <c r="CV81" i="1"/>
  <c r="U81" i="1" s="1"/>
  <c r="CX81" i="1"/>
  <c r="W81" i="1" s="1"/>
  <c r="FR81" i="1"/>
  <c r="GL81" i="1"/>
  <c r="GO81" i="1"/>
  <c r="GP81" i="1"/>
  <c r="GV81" i="1"/>
  <c r="HC81" i="1" s="1"/>
  <c r="GX81" i="1" s="1"/>
  <c r="B83" i="1"/>
  <c r="B22" i="1" s="1"/>
  <c r="C83" i="1"/>
  <c r="C22" i="1" s="1"/>
  <c r="D83" i="1"/>
  <c r="D22" i="1" s="1"/>
  <c r="F83" i="1"/>
  <c r="F22" i="1" s="1"/>
  <c r="G83" i="1"/>
  <c r="G22" i="1" s="1"/>
  <c r="BX83" i="1"/>
  <c r="BX22" i="1" s="1"/>
  <c r="CK83" i="1"/>
  <c r="CK22" i="1" s="1"/>
  <c r="CL83" i="1"/>
  <c r="CL22" i="1" s="1"/>
  <c r="FP83" i="1"/>
  <c r="FP22" i="1" s="1"/>
  <c r="GC83" i="1"/>
  <c r="GC22" i="1" s="1"/>
  <c r="GD83" i="1"/>
  <c r="GD22" i="1" s="1"/>
  <c r="B112" i="1"/>
  <c r="B18" i="1" s="1"/>
  <c r="C112" i="1"/>
  <c r="C18" i="1" s="1"/>
  <c r="D112" i="1"/>
  <c r="D18" i="1" s="1"/>
  <c r="F112" i="1"/>
  <c r="F18" i="1" s="1"/>
  <c r="G112" i="1"/>
  <c r="G18" i="1" s="1"/>
  <c r="H191" i="7" l="1"/>
  <c r="T191" i="7"/>
  <c r="AB79" i="1"/>
  <c r="T188" i="7"/>
  <c r="H188" i="7"/>
  <c r="CP77" i="1"/>
  <c r="O77" i="1" s="1"/>
  <c r="U185" i="7"/>
  <c r="AB77" i="1"/>
  <c r="T185" i="7"/>
  <c r="H185" i="7"/>
  <c r="CQ75" i="1"/>
  <c r="P75" i="1" s="1"/>
  <c r="U182" i="7" s="1"/>
  <c r="T182" i="7"/>
  <c r="H182" i="7"/>
  <c r="AB75" i="1"/>
  <c r="T179" i="7"/>
  <c r="H179" i="7"/>
  <c r="CQ71" i="1"/>
  <c r="P71" i="1" s="1"/>
  <c r="U176" i="7" s="1"/>
  <c r="T176" i="7"/>
  <c r="H176" i="7"/>
  <c r="CQ69" i="1"/>
  <c r="P69" i="1" s="1"/>
  <c r="U173" i="7" s="1"/>
  <c r="T173" i="7"/>
  <c r="H173" i="7"/>
  <c r="CQ67" i="1"/>
  <c r="P67" i="1" s="1"/>
  <c r="U170" i="7" s="1"/>
  <c r="T170" i="7"/>
  <c r="H170" i="7"/>
  <c r="AB67" i="1"/>
  <c r="T167" i="7"/>
  <c r="H167" i="7"/>
  <c r="T164" i="7"/>
  <c r="H164" i="7"/>
  <c r="AB61" i="1"/>
  <c r="T161" i="7"/>
  <c r="H161" i="7"/>
  <c r="AB59" i="1"/>
  <c r="T158" i="7"/>
  <c r="H158" i="7"/>
  <c r="AB57" i="1"/>
  <c r="T155" i="7"/>
  <c r="H155" i="7"/>
  <c r="AB55" i="1"/>
  <c r="T152" i="7"/>
  <c r="H152" i="7"/>
  <c r="AB53" i="1"/>
  <c r="T149" i="7"/>
  <c r="H149" i="7"/>
  <c r="AB51" i="1"/>
  <c r="H143" i="7" s="1"/>
  <c r="T145" i="7"/>
  <c r="T146" i="7"/>
  <c r="H145" i="7"/>
  <c r="T144" i="7"/>
  <c r="H146" i="7"/>
  <c r="H144" i="7"/>
  <c r="K144" i="7"/>
  <c r="AB49" i="1"/>
  <c r="H137" i="7" s="1"/>
  <c r="CV51" i="1"/>
  <c r="U51" i="1" s="1"/>
  <c r="I147" i="7" s="1"/>
  <c r="H147" i="7"/>
  <c r="CT49" i="1"/>
  <c r="S49" i="1" s="1"/>
  <c r="U138" i="7" s="1"/>
  <c r="H140" i="7"/>
  <c r="T139" i="7"/>
  <c r="H138" i="7"/>
  <c r="T140" i="7"/>
  <c r="H139" i="7"/>
  <c r="T138" i="7"/>
  <c r="CV49" i="1"/>
  <c r="U49" i="1" s="1"/>
  <c r="I141" i="7" s="1"/>
  <c r="H141" i="7"/>
  <c r="CS45" i="1"/>
  <c r="R45" i="1" s="1"/>
  <c r="K124" i="7" s="1"/>
  <c r="CV47" i="1"/>
  <c r="U47" i="1" s="1"/>
  <c r="I135" i="7" s="1"/>
  <c r="H135" i="7"/>
  <c r="CT47" i="1"/>
  <c r="S47" i="1" s="1"/>
  <c r="U131" i="7" s="1"/>
  <c r="T131" i="7"/>
  <c r="H131" i="7"/>
  <c r="T133" i="7"/>
  <c r="T134" i="7"/>
  <c r="H133" i="7"/>
  <c r="H134" i="7"/>
  <c r="H132" i="7"/>
  <c r="T132" i="7"/>
  <c r="AB47" i="1"/>
  <c r="H130" i="7" s="1"/>
  <c r="CT45" i="1"/>
  <c r="S45" i="1" s="1"/>
  <c r="U122" i="7" s="1"/>
  <c r="T122" i="7"/>
  <c r="T126" i="7"/>
  <c r="H122" i="7"/>
  <c r="T127" i="7"/>
  <c r="H126" i="7"/>
  <c r="H127" i="7"/>
  <c r="GM124" i="7"/>
  <c r="I124" i="7" s="1"/>
  <c r="H124" i="7"/>
  <c r="CV45" i="1"/>
  <c r="U45" i="1" s="1"/>
  <c r="I128" i="7" s="1"/>
  <c r="H128" i="7"/>
  <c r="CQ45" i="1"/>
  <c r="P45" i="1" s="1"/>
  <c r="U125" i="7" s="1"/>
  <c r="K125" i="7" s="1"/>
  <c r="H125" i="7"/>
  <c r="T125" i="7"/>
  <c r="CR45" i="1"/>
  <c r="Q45" i="1" s="1"/>
  <c r="U123" i="7" s="1"/>
  <c r="K123" i="7" s="1"/>
  <c r="T123" i="7"/>
  <c r="H123" i="7"/>
  <c r="CT43" i="1"/>
  <c r="S43" i="1" s="1"/>
  <c r="U116" i="7" s="1"/>
  <c r="T117" i="7"/>
  <c r="H118" i="7"/>
  <c r="T118" i="7"/>
  <c r="H117" i="7"/>
  <c r="T116" i="7"/>
  <c r="H116" i="7"/>
  <c r="CV43" i="1"/>
  <c r="U43" i="1" s="1"/>
  <c r="I119" i="7" s="1"/>
  <c r="H119" i="7"/>
  <c r="AB43" i="1"/>
  <c r="H115" i="7" s="1"/>
  <c r="AD41" i="1"/>
  <c r="CR41" i="1" s="1"/>
  <c r="Q41" i="1" s="1"/>
  <c r="U108" i="7" s="1"/>
  <c r="K108" i="7" s="1"/>
  <c r="H109" i="7"/>
  <c r="GM109" i="7"/>
  <c r="I109" i="7" s="1"/>
  <c r="CV41" i="1"/>
  <c r="U41" i="1" s="1"/>
  <c r="I113" i="7" s="1"/>
  <c r="H113" i="7"/>
  <c r="H110" i="7"/>
  <c r="T110" i="7"/>
  <c r="CT41" i="1"/>
  <c r="S41" i="1" s="1"/>
  <c r="U107" i="7" s="1"/>
  <c r="T107" i="7"/>
  <c r="T111" i="7"/>
  <c r="H107" i="7"/>
  <c r="T112" i="7"/>
  <c r="H111" i="7"/>
  <c r="H112" i="7"/>
  <c r="CQ41" i="1"/>
  <c r="P41" i="1" s="1"/>
  <c r="U110" i="7" s="1"/>
  <c r="K110" i="7" s="1"/>
  <c r="CS41" i="1"/>
  <c r="R41" i="1" s="1"/>
  <c r="K109" i="7" s="1"/>
  <c r="CT39" i="1"/>
  <c r="S39" i="1" s="1"/>
  <c r="U100" i="7" s="1"/>
  <c r="H100" i="7"/>
  <c r="T102" i="7"/>
  <c r="H103" i="7"/>
  <c r="T103" i="7"/>
  <c r="H102" i="7"/>
  <c r="T100" i="7"/>
  <c r="CV39" i="1"/>
  <c r="U39" i="1" s="1"/>
  <c r="I104" i="7" s="1"/>
  <c r="H104" i="7"/>
  <c r="H101" i="7"/>
  <c r="T101" i="7"/>
  <c r="AB39" i="1"/>
  <c r="H99" i="7" s="1"/>
  <c r="CP39" i="1"/>
  <c r="O39" i="1" s="1"/>
  <c r="CV37" i="1"/>
  <c r="U37" i="1" s="1"/>
  <c r="I97" i="7" s="1"/>
  <c r="H97" i="7"/>
  <c r="CT37" i="1"/>
  <c r="S37" i="1" s="1"/>
  <c r="U93" i="7" s="1"/>
  <c r="H96" i="7"/>
  <c r="T95" i="7"/>
  <c r="T96" i="7"/>
  <c r="H95" i="7"/>
  <c r="T93" i="7"/>
  <c r="H93" i="7"/>
  <c r="H94" i="7"/>
  <c r="T94" i="7"/>
  <c r="AB37" i="1"/>
  <c r="H92" i="7" s="1"/>
  <c r="H86" i="7"/>
  <c r="GM86" i="7"/>
  <c r="I86" i="7" s="1"/>
  <c r="CV35" i="1"/>
  <c r="U35" i="1" s="1"/>
  <c r="I90" i="7" s="1"/>
  <c r="H90" i="7"/>
  <c r="H87" i="7"/>
  <c r="T87" i="7"/>
  <c r="CT35" i="1"/>
  <c r="S35" i="1" s="1"/>
  <c r="U84" i="7" s="1"/>
  <c r="T84" i="7"/>
  <c r="T88" i="7"/>
  <c r="H84" i="7"/>
  <c r="H89" i="7"/>
  <c r="T89" i="7"/>
  <c r="H88" i="7"/>
  <c r="CV33" i="1"/>
  <c r="U33" i="1" s="1"/>
  <c r="I81" i="7" s="1"/>
  <c r="T78" i="7"/>
  <c r="T79" i="7"/>
  <c r="H80" i="7"/>
  <c r="H78" i="7"/>
  <c r="T80" i="7"/>
  <c r="H79" i="7"/>
  <c r="CT33" i="1"/>
  <c r="S33" i="1" s="1"/>
  <c r="U78" i="7" s="1"/>
  <c r="GM71" i="7"/>
  <c r="I71" i="7" s="1"/>
  <c r="H71" i="7"/>
  <c r="CV31" i="1"/>
  <c r="U31" i="1" s="1"/>
  <c r="I75" i="7" s="1"/>
  <c r="H75" i="7"/>
  <c r="H72" i="7"/>
  <c r="T72" i="7"/>
  <c r="CT31" i="1"/>
  <c r="S31" i="1" s="1"/>
  <c r="U69" i="7" s="1"/>
  <c r="T69" i="7"/>
  <c r="T74" i="7"/>
  <c r="T73" i="7"/>
  <c r="H69" i="7"/>
  <c r="H73" i="7"/>
  <c r="H74" i="7"/>
  <c r="CV29" i="1"/>
  <c r="U29" i="1" s="1"/>
  <c r="I66" i="7" s="1"/>
  <c r="H66" i="7"/>
  <c r="CT29" i="1"/>
  <c r="S29" i="1" s="1"/>
  <c r="U63" i="7" s="1"/>
  <c r="T64" i="7"/>
  <c r="H65" i="7"/>
  <c r="H63" i="7"/>
  <c r="T65" i="7"/>
  <c r="H64" i="7"/>
  <c r="T63" i="7"/>
  <c r="FR83" i="1"/>
  <c r="FR22" i="1" s="1"/>
  <c r="FQ83" i="1"/>
  <c r="FQ22" i="1" s="1"/>
  <c r="BZ83" i="1"/>
  <c r="BZ22" i="1" s="1"/>
  <c r="K54" i="7"/>
  <c r="GB83" i="1"/>
  <c r="GB22" i="1" s="1"/>
  <c r="GM56" i="7"/>
  <c r="I56" i="7" s="1"/>
  <c r="H56" i="7"/>
  <c r="BY83" i="1"/>
  <c r="BY22" i="1" s="1"/>
  <c r="T54" i="7"/>
  <c r="H54" i="7"/>
  <c r="H58" i="7"/>
  <c r="T58" i="7"/>
  <c r="T59" i="7"/>
  <c r="H59" i="7"/>
  <c r="CV27" i="1"/>
  <c r="U27" i="1" s="1"/>
  <c r="I60" i="7" s="1"/>
  <c r="H60" i="7"/>
  <c r="H57" i="7"/>
  <c r="T57" i="7"/>
  <c r="AG83" i="1"/>
  <c r="AG22" i="1" s="1"/>
  <c r="CV25" i="1"/>
  <c r="U25" i="1" s="1"/>
  <c r="I51" i="7" s="1"/>
  <c r="K48" i="7"/>
  <c r="T49" i="7"/>
  <c r="T50" i="7"/>
  <c r="H49" i="7"/>
  <c r="T48" i="7"/>
  <c r="H50" i="7"/>
  <c r="H48" i="7"/>
  <c r="CY77" i="1"/>
  <c r="X77" i="1" s="1"/>
  <c r="CZ77" i="1"/>
  <c r="Y77" i="1" s="1"/>
  <c r="CP76" i="1"/>
  <c r="O76" i="1" s="1"/>
  <c r="EA83" i="1"/>
  <c r="AH83" i="1"/>
  <c r="EB83" i="1"/>
  <c r="CY81" i="1"/>
  <c r="X81" i="1" s="1"/>
  <c r="CZ81" i="1"/>
  <c r="Y81" i="1" s="1"/>
  <c r="CJ83" i="1"/>
  <c r="AF83" i="1"/>
  <c r="AI83" i="1"/>
  <c r="CY75" i="1"/>
  <c r="X75" i="1" s="1"/>
  <c r="CZ75" i="1"/>
  <c r="Y75" i="1" s="1"/>
  <c r="AJ83" i="1"/>
  <c r="CY78" i="1"/>
  <c r="X78" i="1" s="1"/>
  <c r="CZ78" i="1"/>
  <c r="Y78" i="1" s="1"/>
  <c r="CY79" i="1"/>
  <c r="X79" i="1" s="1"/>
  <c r="CZ79" i="1"/>
  <c r="Y79" i="1" s="1"/>
  <c r="CY80" i="1"/>
  <c r="X80" i="1" s="1"/>
  <c r="CZ80" i="1"/>
  <c r="Y80" i="1" s="1"/>
  <c r="DY83" i="1"/>
  <c r="CQ74" i="1"/>
  <c r="P74" i="1" s="1"/>
  <c r="CZ67" i="1"/>
  <c r="Y67" i="1" s="1"/>
  <c r="CY67" i="1"/>
  <c r="X67" i="1" s="1"/>
  <c r="CZ66" i="1"/>
  <c r="Y66" i="1" s="1"/>
  <c r="CY66" i="1"/>
  <c r="X66" i="1" s="1"/>
  <c r="EU83" i="1"/>
  <c r="BC83" i="1"/>
  <c r="CQ81" i="1"/>
  <c r="P81" i="1" s="1"/>
  <c r="U191" i="7" s="1"/>
  <c r="AD81" i="1"/>
  <c r="CR81" i="1" s="1"/>
  <c r="Q81" i="1" s="1"/>
  <c r="CQ80" i="1"/>
  <c r="P80" i="1" s="1"/>
  <c r="CP80" i="1" s="1"/>
  <c r="O80" i="1" s="1"/>
  <c r="CQ79" i="1"/>
  <c r="P79" i="1" s="1"/>
  <c r="CQ78" i="1"/>
  <c r="P78" i="1" s="1"/>
  <c r="CP78" i="1" s="1"/>
  <c r="O78" i="1" s="1"/>
  <c r="CR75" i="1"/>
  <c r="Q75" i="1" s="1"/>
  <c r="CP75" i="1" s="1"/>
  <c r="O75" i="1" s="1"/>
  <c r="CP72" i="1"/>
  <c r="O72" i="1" s="1"/>
  <c r="CP68" i="1"/>
  <c r="O68" i="1" s="1"/>
  <c r="ET83" i="1"/>
  <c r="BB83" i="1"/>
  <c r="AD73" i="1"/>
  <c r="CR73" i="1" s="1"/>
  <c r="Q73" i="1" s="1"/>
  <c r="CS73" i="1"/>
  <c r="R73" i="1" s="1"/>
  <c r="CZ73" i="1" s="1"/>
  <c r="Y73" i="1" s="1"/>
  <c r="CZ63" i="1"/>
  <c r="Y63" i="1" s="1"/>
  <c r="CY63" i="1"/>
  <c r="X63" i="1" s="1"/>
  <c r="EG83" i="1"/>
  <c r="AO83" i="1"/>
  <c r="CS76" i="1"/>
  <c r="R76" i="1" s="1"/>
  <c r="CY76" i="1" s="1"/>
  <c r="X76" i="1" s="1"/>
  <c r="AD74" i="1"/>
  <c r="CR74" i="1" s="1"/>
  <c r="Q74" i="1" s="1"/>
  <c r="CS74" i="1"/>
  <c r="R74" i="1" s="1"/>
  <c r="CY74" i="1" s="1"/>
  <c r="X74" i="1" s="1"/>
  <c r="CQ73" i="1"/>
  <c r="P73" i="1" s="1"/>
  <c r="CP70" i="1"/>
  <c r="O70" i="1" s="1"/>
  <c r="CS72" i="1"/>
  <c r="R72" i="1" s="1"/>
  <c r="CZ72" i="1" s="1"/>
  <c r="Y72" i="1" s="1"/>
  <c r="AB72" i="1"/>
  <c r="CS71" i="1"/>
  <c r="R71" i="1" s="1"/>
  <c r="CY71" i="1" s="1"/>
  <c r="X71" i="1" s="1"/>
  <c r="AB71" i="1"/>
  <c r="CS70" i="1"/>
  <c r="R70" i="1" s="1"/>
  <c r="CY70" i="1" s="1"/>
  <c r="X70" i="1" s="1"/>
  <c r="AB70" i="1"/>
  <c r="CS69" i="1"/>
  <c r="R69" i="1" s="1"/>
  <c r="CY69" i="1" s="1"/>
  <c r="X69" i="1" s="1"/>
  <c r="AB69" i="1"/>
  <c r="CS68" i="1"/>
  <c r="R68" i="1" s="1"/>
  <c r="CZ68" i="1" s="1"/>
  <c r="Y68" i="1" s="1"/>
  <c r="AB68" i="1"/>
  <c r="CZ61" i="1"/>
  <c r="Y61" i="1" s="1"/>
  <c r="CY61" i="1"/>
  <c r="X61" i="1" s="1"/>
  <c r="CZ59" i="1"/>
  <c r="Y59" i="1" s="1"/>
  <c r="CY59" i="1"/>
  <c r="X59" i="1" s="1"/>
  <c r="CZ57" i="1"/>
  <c r="Y57" i="1" s="1"/>
  <c r="CY57" i="1"/>
  <c r="X57" i="1" s="1"/>
  <c r="CZ55" i="1"/>
  <c r="Y55" i="1" s="1"/>
  <c r="CY55" i="1"/>
  <c r="X55" i="1" s="1"/>
  <c r="CZ53" i="1"/>
  <c r="Y53" i="1" s="1"/>
  <c r="CY53" i="1"/>
  <c r="X53" i="1" s="1"/>
  <c r="CZ51" i="1"/>
  <c r="Y51" i="1" s="1"/>
  <c r="U146" i="7" s="1"/>
  <c r="K146" i="7" s="1"/>
  <c r="CY51" i="1"/>
  <c r="X51" i="1" s="1"/>
  <c r="U145" i="7" s="1"/>
  <c r="K145" i="7" s="1"/>
  <c r="CR50" i="1"/>
  <c r="Q50" i="1" s="1"/>
  <c r="CP50" i="1" s="1"/>
  <c r="O50" i="1" s="1"/>
  <c r="AB50" i="1"/>
  <c r="CR46" i="1"/>
  <c r="Q46" i="1" s="1"/>
  <c r="CP46" i="1" s="1"/>
  <c r="O46" i="1" s="1"/>
  <c r="AB46" i="1"/>
  <c r="AB66" i="1"/>
  <c r="CQ66" i="1"/>
  <c r="P66" i="1" s="1"/>
  <c r="CP66" i="1" s="1"/>
  <c r="O66" i="1" s="1"/>
  <c r="CZ65" i="1"/>
  <c r="Y65" i="1" s="1"/>
  <c r="CY65" i="1"/>
  <c r="X65" i="1" s="1"/>
  <c r="CZ64" i="1"/>
  <c r="Y64" i="1" s="1"/>
  <c r="CY64" i="1"/>
  <c r="X64" i="1" s="1"/>
  <c r="AB63" i="1"/>
  <c r="CQ63" i="1"/>
  <c r="P63" i="1" s="1"/>
  <c r="CZ62" i="1"/>
  <c r="Y62" i="1" s="1"/>
  <c r="CY62" i="1"/>
  <c r="X62" i="1" s="1"/>
  <c r="CR48" i="1"/>
  <c r="Q48" i="1" s="1"/>
  <c r="CP48" i="1" s="1"/>
  <c r="O48" i="1" s="1"/>
  <c r="AB48" i="1"/>
  <c r="CZ60" i="1"/>
  <c r="Y60" i="1" s="1"/>
  <c r="CY60" i="1"/>
  <c r="X60" i="1" s="1"/>
  <c r="AB60" i="1"/>
  <c r="CZ58" i="1"/>
  <c r="Y58" i="1" s="1"/>
  <c r="CY58" i="1"/>
  <c r="X58" i="1" s="1"/>
  <c r="AB58" i="1"/>
  <c r="CZ56" i="1"/>
  <c r="Y56" i="1" s="1"/>
  <c r="CY56" i="1"/>
  <c r="X56" i="1" s="1"/>
  <c r="AB56" i="1"/>
  <c r="CZ54" i="1"/>
  <c r="Y54" i="1" s="1"/>
  <c r="CY54" i="1"/>
  <c r="X54" i="1" s="1"/>
  <c r="AB54" i="1"/>
  <c r="CZ52" i="1"/>
  <c r="Y52" i="1" s="1"/>
  <c r="CY52" i="1"/>
  <c r="X52" i="1" s="1"/>
  <c r="AB65" i="1"/>
  <c r="CQ65" i="1"/>
  <c r="P65" i="1" s="1"/>
  <c r="AB64" i="1"/>
  <c r="CQ64" i="1"/>
  <c r="P64" i="1" s="1"/>
  <c r="CP64" i="1" s="1"/>
  <c r="O64" i="1" s="1"/>
  <c r="AB62" i="1"/>
  <c r="CQ62" i="1"/>
  <c r="P62" i="1" s="1"/>
  <c r="CP62" i="1" s="1"/>
  <c r="O62" i="1" s="1"/>
  <c r="CQ61" i="1"/>
  <c r="P61" i="1" s="1"/>
  <c r="CQ60" i="1"/>
  <c r="P60" i="1" s="1"/>
  <c r="CP60" i="1" s="1"/>
  <c r="O60" i="1" s="1"/>
  <c r="CQ59" i="1"/>
  <c r="P59" i="1" s="1"/>
  <c r="CQ58" i="1"/>
  <c r="P58" i="1" s="1"/>
  <c r="CP58" i="1" s="1"/>
  <c r="O58" i="1" s="1"/>
  <c r="CQ57" i="1"/>
  <c r="P57" i="1" s="1"/>
  <c r="CQ56" i="1"/>
  <c r="P56" i="1" s="1"/>
  <c r="CP56" i="1" s="1"/>
  <c r="O56" i="1" s="1"/>
  <c r="CQ55" i="1"/>
  <c r="P55" i="1" s="1"/>
  <c r="CQ54" i="1"/>
  <c r="P54" i="1" s="1"/>
  <c r="CP54" i="1" s="1"/>
  <c r="O54" i="1" s="1"/>
  <c r="CQ53" i="1"/>
  <c r="P53" i="1" s="1"/>
  <c r="CQ52" i="1"/>
  <c r="P52" i="1" s="1"/>
  <c r="CP52" i="1" s="1"/>
  <c r="O52" i="1" s="1"/>
  <c r="CQ51" i="1"/>
  <c r="P51" i="1" s="1"/>
  <c r="CP51" i="1" s="1"/>
  <c r="O51" i="1" s="1"/>
  <c r="CS50" i="1"/>
  <c r="R50" i="1" s="1"/>
  <c r="CY50" i="1" s="1"/>
  <c r="X50" i="1" s="1"/>
  <c r="CQ49" i="1"/>
  <c r="P49" i="1" s="1"/>
  <c r="CS48" i="1"/>
  <c r="R48" i="1" s="1"/>
  <c r="CY48" i="1" s="1"/>
  <c r="X48" i="1" s="1"/>
  <c r="CQ47" i="1"/>
  <c r="P47" i="1" s="1"/>
  <c r="CS46" i="1"/>
  <c r="R46" i="1" s="1"/>
  <c r="CZ46" i="1" s="1"/>
  <c r="Y46" i="1" s="1"/>
  <c r="CP44" i="1"/>
  <c r="O44" i="1" s="1"/>
  <c r="AB44" i="1"/>
  <c r="CR38" i="1"/>
  <c r="Q38" i="1" s="1"/>
  <c r="CP38" i="1" s="1"/>
  <c r="O38" i="1" s="1"/>
  <c r="AB38" i="1"/>
  <c r="CY44" i="1"/>
  <c r="X44" i="1" s="1"/>
  <c r="CZ44" i="1"/>
  <c r="Y44" i="1" s="1"/>
  <c r="CY42" i="1"/>
  <c r="X42" i="1" s="1"/>
  <c r="CZ42" i="1"/>
  <c r="Y42" i="1" s="1"/>
  <c r="CR42" i="1"/>
  <c r="Q42" i="1" s="1"/>
  <c r="CP42" i="1" s="1"/>
  <c r="O42" i="1" s="1"/>
  <c r="AB42" i="1"/>
  <c r="CY40" i="1"/>
  <c r="X40" i="1" s="1"/>
  <c r="CZ40" i="1"/>
  <c r="Y40" i="1" s="1"/>
  <c r="AB45" i="1"/>
  <c r="H121" i="7" s="1"/>
  <c r="CR40" i="1"/>
  <c r="Q40" i="1" s="1"/>
  <c r="CP40" i="1" s="1"/>
  <c r="O40" i="1" s="1"/>
  <c r="AB40" i="1"/>
  <c r="CY38" i="1"/>
  <c r="X38" i="1" s="1"/>
  <c r="CZ38" i="1"/>
  <c r="Y38" i="1" s="1"/>
  <c r="AD36" i="1"/>
  <c r="CR36" i="1" s="1"/>
  <c r="Q36" i="1" s="1"/>
  <c r="CS36" i="1"/>
  <c r="R36" i="1" s="1"/>
  <c r="CZ36" i="1" s="1"/>
  <c r="Y36" i="1" s="1"/>
  <c r="CS35" i="1"/>
  <c r="R35" i="1" s="1"/>
  <c r="AD35" i="1"/>
  <c r="AD34" i="1"/>
  <c r="CR34" i="1" s="1"/>
  <c r="Q34" i="1" s="1"/>
  <c r="CS34" i="1"/>
  <c r="R34" i="1" s="1"/>
  <c r="CZ34" i="1" s="1"/>
  <c r="Y34" i="1" s="1"/>
  <c r="CQ29" i="1"/>
  <c r="P29" i="1" s="1"/>
  <c r="AD28" i="1"/>
  <c r="CR28" i="1" s="1"/>
  <c r="Q28" i="1" s="1"/>
  <c r="CS28" i="1"/>
  <c r="R28" i="1" s="1"/>
  <c r="CZ28" i="1" s="1"/>
  <c r="Y28" i="1" s="1"/>
  <c r="CS27" i="1"/>
  <c r="R27" i="1" s="1"/>
  <c r="AD27" i="1"/>
  <c r="AD26" i="1"/>
  <c r="CR26" i="1" s="1"/>
  <c r="Q26" i="1" s="1"/>
  <c r="CS26" i="1"/>
  <c r="R26" i="1" s="1"/>
  <c r="CZ24" i="1"/>
  <c r="Y24" i="1" s="1"/>
  <c r="CY24" i="1"/>
  <c r="X24" i="1" s="1"/>
  <c r="CQ36" i="1"/>
  <c r="P36" i="1" s="1"/>
  <c r="AB36" i="1"/>
  <c r="CQ35" i="1"/>
  <c r="P35" i="1" s="1"/>
  <c r="U87" i="7" s="1"/>
  <c r="K87" i="7" s="1"/>
  <c r="CQ34" i="1"/>
  <c r="P34" i="1" s="1"/>
  <c r="CS33" i="1"/>
  <c r="R33" i="1" s="1"/>
  <c r="AD33" i="1"/>
  <c r="CR33" i="1" s="1"/>
  <c r="Q33" i="1" s="1"/>
  <c r="CQ28" i="1"/>
  <c r="P28" i="1" s="1"/>
  <c r="AB28" i="1"/>
  <c r="CQ27" i="1"/>
  <c r="P27" i="1" s="1"/>
  <c r="U57" i="7" s="1"/>
  <c r="K57" i="7" s="1"/>
  <c r="CQ26" i="1"/>
  <c r="P26" i="1" s="1"/>
  <c r="AB26" i="1"/>
  <c r="CS25" i="1"/>
  <c r="R25" i="1" s="1"/>
  <c r="AD25" i="1"/>
  <c r="CR25" i="1" s="1"/>
  <c r="Q25" i="1" s="1"/>
  <c r="CQ33" i="1"/>
  <c r="P33" i="1" s="1"/>
  <c r="AD32" i="1"/>
  <c r="CR32" i="1" s="1"/>
  <c r="Q32" i="1" s="1"/>
  <c r="CS32" i="1"/>
  <c r="R32" i="1" s="1"/>
  <c r="CY32" i="1" s="1"/>
  <c r="X32" i="1" s="1"/>
  <c r="CS31" i="1"/>
  <c r="R31" i="1" s="1"/>
  <c r="AD31" i="1"/>
  <c r="AD30" i="1"/>
  <c r="CR30" i="1" s="1"/>
  <c r="Q30" i="1" s="1"/>
  <c r="CS30" i="1"/>
  <c r="R30" i="1" s="1"/>
  <c r="CY30" i="1" s="1"/>
  <c r="X30" i="1" s="1"/>
  <c r="CQ25" i="1"/>
  <c r="P25" i="1" s="1"/>
  <c r="CQ32" i="1"/>
  <c r="P32" i="1" s="1"/>
  <c r="CQ31" i="1"/>
  <c r="P31" i="1" s="1"/>
  <c r="U72" i="7" s="1"/>
  <c r="K72" i="7" s="1"/>
  <c r="CQ30" i="1"/>
  <c r="P30" i="1" s="1"/>
  <c r="CS29" i="1"/>
  <c r="R29" i="1" s="1"/>
  <c r="AD29" i="1"/>
  <c r="CR29" i="1" s="1"/>
  <c r="Q29" i="1" s="1"/>
  <c r="AB24" i="1"/>
  <c r="CQ24" i="1"/>
  <c r="P24" i="1" s="1"/>
  <c r="R193" i="7" l="1"/>
  <c r="HB191" i="7"/>
  <c r="GQ191" i="7"/>
  <c r="I191" i="7"/>
  <c r="GN191" i="7"/>
  <c r="GS191" i="7"/>
  <c r="GP191" i="7"/>
  <c r="GJ191" i="7"/>
  <c r="S193" i="7"/>
  <c r="J193" i="7" s="1"/>
  <c r="K191" i="7"/>
  <c r="GM77" i="1"/>
  <c r="CP79" i="1"/>
  <c r="O79" i="1" s="1"/>
  <c r="GM79" i="1" s="1"/>
  <c r="U188" i="7"/>
  <c r="R190" i="7"/>
  <c r="HB188" i="7"/>
  <c r="GQ188" i="7"/>
  <c r="I188" i="7"/>
  <c r="GP188" i="7"/>
  <c r="GN188" i="7"/>
  <c r="GS188" i="7"/>
  <c r="GJ188" i="7"/>
  <c r="CY49" i="1"/>
  <c r="X49" i="1" s="1"/>
  <c r="U139" i="7" s="1"/>
  <c r="K139" i="7" s="1"/>
  <c r="R187" i="7"/>
  <c r="HB185" i="7"/>
  <c r="GQ185" i="7"/>
  <c r="I185" i="7"/>
  <c r="GP185" i="7"/>
  <c r="GS185" i="7"/>
  <c r="GJ185" i="7"/>
  <c r="GN185" i="7"/>
  <c r="S187" i="7"/>
  <c r="J187" i="7" s="1"/>
  <c r="K185" i="7"/>
  <c r="GN77" i="1"/>
  <c r="R184" i="7"/>
  <c r="HB182" i="7"/>
  <c r="GQ182" i="7"/>
  <c r="I182" i="7"/>
  <c r="GJ182" i="7"/>
  <c r="GP182" i="7"/>
  <c r="GS182" i="7"/>
  <c r="GN182" i="7"/>
  <c r="S184" i="7"/>
  <c r="J184" i="7" s="1"/>
  <c r="K182" i="7"/>
  <c r="CY73" i="1"/>
  <c r="X73" i="1" s="1"/>
  <c r="GM73" i="1" s="1"/>
  <c r="CP73" i="1"/>
  <c r="O73" i="1" s="1"/>
  <c r="U179" i="7"/>
  <c r="CP71" i="1"/>
  <c r="O71" i="1" s="1"/>
  <c r="R181" i="7"/>
  <c r="HB179" i="7"/>
  <c r="GQ179" i="7"/>
  <c r="I179" i="7"/>
  <c r="GP179" i="7"/>
  <c r="GN179" i="7"/>
  <c r="GS179" i="7"/>
  <c r="GJ179" i="7"/>
  <c r="CY72" i="1"/>
  <c r="X72" i="1" s="1"/>
  <c r="GN72" i="1" s="1"/>
  <c r="CP67" i="1"/>
  <c r="O67" i="1" s="1"/>
  <c r="GM67" i="1" s="1"/>
  <c r="R178" i="7"/>
  <c r="HB176" i="7"/>
  <c r="GQ176" i="7"/>
  <c r="I176" i="7"/>
  <c r="GP176" i="7"/>
  <c r="GN176" i="7"/>
  <c r="GS176" i="7"/>
  <c r="GJ176" i="7"/>
  <c r="S178" i="7"/>
  <c r="J178" i="7" s="1"/>
  <c r="K176" i="7"/>
  <c r="CY39" i="1"/>
  <c r="X39" i="1" s="1"/>
  <c r="U102" i="7" s="1"/>
  <c r="K102" i="7" s="1"/>
  <c r="CP69" i="1"/>
  <c r="O69" i="1" s="1"/>
  <c r="R175" i="7"/>
  <c r="HB173" i="7"/>
  <c r="GQ173" i="7"/>
  <c r="I173" i="7"/>
  <c r="GP173" i="7"/>
  <c r="GN173" i="7"/>
  <c r="GS173" i="7"/>
  <c r="GJ173" i="7"/>
  <c r="S175" i="7"/>
  <c r="J175" i="7" s="1"/>
  <c r="K173" i="7"/>
  <c r="CY68" i="1"/>
  <c r="X68" i="1" s="1"/>
  <c r="GN68" i="1" s="1"/>
  <c r="R172" i="7"/>
  <c r="HB170" i="7"/>
  <c r="GQ170" i="7"/>
  <c r="I170" i="7"/>
  <c r="GS170" i="7"/>
  <c r="GP170" i="7"/>
  <c r="GJ170" i="7"/>
  <c r="GN170" i="7"/>
  <c r="S172" i="7"/>
  <c r="J172" i="7" s="1"/>
  <c r="K170" i="7"/>
  <c r="CP65" i="1"/>
  <c r="O65" i="1" s="1"/>
  <c r="GN65" i="1" s="1"/>
  <c r="U167" i="7"/>
  <c r="R169" i="7"/>
  <c r="HB167" i="7"/>
  <c r="GQ167" i="7"/>
  <c r="I167" i="7"/>
  <c r="GP167" i="7"/>
  <c r="GN167" i="7"/>
  <c r="GS167" i="7"/>
  <c r="GJ167" i="7"/>
  <c r="CP63" i="1"/>
  <c r="O63" i="1" s="1"/>
  <c r="GN63" i="1" s="1"/>
  <c r="U164" i="7"/>
  <c r="R166" i="7"/>
  <c r="HB164" i="7"/>
  <c r="GQ164" i="7"/>
  <c r="I164" i="7"/>
  <c r="GP164" i="7"/>
  <c r="GN164" i="7"/>
  <c r="GS164" i="7"/>
  <c r="GJ164" i="7"/>
  <c r="CY36" i="1"/>
  <c r="X36" i="1" s="1"/>
  <c r="R163" i="7"/>
  <c r="HB161" i="7"/>
  <c r="GQ161" i="7"/>
  <c r="I161" i="7"/>
  <c r="GJ161" i="7"/>
  <c r="GP161" i="7"/>
  <c r="GS161" i="7"/>
  <c r="GN161" i="7"/>
  <c r="CP61" i="1"/>
  <c r="O61" i="1" s="1"/>
  <c r="GN61" i="1" s="1"/>
  <c r="U161" i="7"/>
  <c r="CP49" i="1"/>
  <c r="O49" i="1" s="1"/>
  <c r="CZ49" i="1"/>
  <c r="Y49" i="1" s="1"/>
  <c r="U140" i="7" s="1"/>
  <c r="K140" i="7" s="1"/>
  <c r="CZ29" i="1"/>
  <c r="Y29" i="1" s="1"/>
  <c r="U65" i="7" s="1"/>
  <c r="K65" i="7" s="1"/>
  <c r="CZ33" i="1"/>
  <c r="Y33" i="1" s="1"/>
  <c r="U80" i="7" s="1"/>
  <c r="K80" i="7" s="1"/>
  <c r="R160" i="7"/>
  <c r="HB158" i="7"/>
  <c r="GQ158" i="7"/>
  <c r="I158" i="7"/>
  <c r="GP158" i="7"/>
  <c r="GJ158" i="7"/>
  <c r="GN158" i="7"/>
  <c r="GS158" i="7"/>
  <c r="CP59" i="1"/>
  <c r="O59" i="1" s="1"/>
  <c r="GM59" i="1" s="1"/>
  <c r="U158" i="7"/>
  <c r="CZ43" i="1"/>
  <c r="Y43" i="1" s="1"/>
  <c r="U118" i="7" s="1"/>
  <c r="K118" i="7" s="1"/>
  <c r="CP43" i="1"/>
  <c r="O43" i="1" s="1"/>
  <c r="CY43" i="1"/>
  <c r="X43" i="1" s="1"/>
  <c r="U117" i="7" s="1"/>
  <c r="K117" i="7" s="1"/>
  <c r="CP57" i="1"/>
  <c r="O57" i="1" s="1"/>
  <c r="GN57" i="1" s="1"/>
  <c r="U155" i="7"/>
  <c r="R157" i="7"/>
  <c r="HB155" i="7"/>
  <c r="GQ155" i="7"/>
  <c r="I155" i="7"/>
  <c r="GS155" i="7"/>
  <c r="GJ155" i="7"/>
  <c r="GP155" i="7"/>
  <c r="GN155" i="7"/>
  <c r="CP55" i="1"/>
  <c r="O55" i="1" s="1"/>
  <c r="GN55" i="1" s="1"/>
  <c r="U152" i="7"/>
  <c r="R154" i="7"/>
  <c r="HB152" i="7"/>
  <c r="GQ152" i="7"/>
  <c r="I152" i="7"/>
  <c r="GP152" i="7"/>
  <c r="GS152" i="7"/>
  <c r="GN152" i="7"/>
  <c r="GJ152" i="7"/>
  <c r="CP53" i="1"/>
  <c r="O53" i="1" s="1"/>
  <c r="GN53" i="1" s="1"/>
  <c r="U149" i="7"/>
  <c r="R151" i="7"/>
  <c r="HB149" i="7"/>
  <c r="GQ149" i="7"/>
  <c r="I149" i="7"/>
  <c r="GP149" i="7"/>
  <c r="GN149" i="7"/>
  <c r="GS149" i="7"/>
  <c r="GJ149" i="7"/>
  <c r="CZ39" i="1"/>
  <c r="Y39" i="1" s="1"/>
  <c r="U103" i="7" s="1"/>
  <c r="K103" i="7" s="1"/>
  <c r="CZ45" i="1"/>
  <c r="Y45" i="1" s="1"/>
  <c r="U127" i="7" s="1"/>
  <c r="K127" i="7" s="1"/>
  <c r="R148" i="7"/>
  <c r="GJ144" i="7"/>
  <c r="I144" i="7"/>
  <c r="HE144" i="7"/>
  <c r="GK144" i="7"/>
  <c r="S148" i="7"/>
  <c r="J148" i="7" s="1"/>
  <c r="GZ146" i="7"/>
  <c r="I146" i="7"/>
  <c r="HE146" i="7"/>
  <c r="I145" i="7"/>
  <c r="HE145" i="7"/>
  <c r="GY145" i="7"/>
  <c r="CZ50" i="1"/>
  <c r="Y50" i="1" s="1"/>
  <c r="GM50" i="1" s="1"/>
  <c r="CY45" i="1"/>
  <c r="X45" i="1" s="1"/>
  <c r="U126" i="7" s="1"/>
  <c r="K126" i="7" s="1"/>
  <c r="R142" i="7"/>
  <c r="GJ138" i="7"/>
  <c r="GK138" i="7"/>
  <c r="I138" i="7"/>
  <c r="HE138" i="7"/>
  <c r="I139" i="7"/>
  <c r="GY139" i="7"/>
  <c r="HE139" i="7"/>
  <c r="GZ140" i="7"/>
  <c r="I140" i="7"/>
  <c r="HE140" i="7"/>
  <c r="K138" i="7"/>
  <c r="CY47" i="1"/>
  <c r="X47" i="1" s="1"/>
  <c r="U133" i="7" s="1"/>
  <c r="K133" i="7" s="1"/>
  <c r="CZ47" i="1"/>
  <c r="Y47" i="1" s="1"/>
  <c r="U134" i="7" s="1"/>
  <c r="K134" i="7" s="1"/>
  <c r="R136" i="7"/>
  <c r="GJ131" i="7"/>
  <c r="HC131" i="7"/>
  <c r="I131" i="7"/>
  <c r="GK131" i="7"/>
  <c r="CP47" i="1"/>
  <c r="O47" i="1" s="1"/>
  <c r="U132" i="7"/>
  <c r="K132" i="7" s="1"/>
  <c r="GN132" i="7"/>
  <c r="HC132" i="7"/>
  <c r="I132" i="7"/>
  <c r="GP132" i="7"/>
  <c r="GS132" i="7"/>
  <c r="GJ132" i="7"/>
  <c r="GQ132" i="7"/>
  <c r="GZ134" i="7"/>
  <c r="HC134" i="7"/>
  <c r="I134" i="7"/>
  <c r="K131" i="7"/>
  <c r="I133" i="7"/>
  <c r="HC133" i="7"/>
  <c r="GY133" i="7"/>
  <c r="H108" i="7"/>
  <c r="CY46" i="1"/>
  <c r="X46" i="1" s="1"/>
  <c r="GM46" i="1" s="1"/>
  <c r="CP45" i="1"/>
  <c r="O45" i="1" s="1"/>
  <c r="T108" i="7"/>
  <c r="R114" i="7" s="1"/>
  <c r="CY37" i="1"/>
  <c r="X37" i="1" s="1"/>
  <c r="U95" i="7" s="1"/>
  <c r="K95" i="7" s="1"/>
  <c r="I126" i="7"/>
  <c r="HC126" i="7"/>
  <c r="GY126" i="7"/>
  <c r="GN125" i="7"/>
  <c r="GS125" i="7"/>
  <c r="GJ125" i="7"/>
  <c r="HC125" i="7"/>
  <c r="GQ125" i="7"/>
  <c r="I125" i="7"/>
  <c r="GP125" i="7"/>
  <c r="R129" i="7"/>
  <c r="HC122" i="7"/>
  <c r="GK122" i="7"/>
  <c r="GJ122" i="7"/>
  <c r="I122" i="7"/>
  <c r="GZ127" i="7"/>
  <c r="I127" i="7"/>
  <c r="HC127" i="7"/>
  <c r="K122" i="7"/>
  <c r="HC123" i="7"/>
  <c r="GL123" i="7"/>
  <c r="GJ123" i="7"/>
  <c r="I123" i="7"/>
  <c r="AB41" i="1"/>
  <c r="H106" i="7" s="1"/>
  <c r="GZ118" i="7"/>
  <c r="I118" i="7"/>
  <c r="HE118" i="7"/>
  <c r="R120" i="7"/>
  <c r="GJ116" i="7"/>
  <c r="I116" i="7"/>
  <c r="GK116" i="7"/>
  <c r="HE116" i="7"/>
  <c r="I117" i="7"/>
  <c r="HE117" i="7"/>
  <c r="GY117" i="7"/>
  <c r="K116" i="7"/>
  <c r="K107" i="7"/>
  <c r="GN110" i="7"/>
  <c r="GS110" i="7"/>
  <c r="GJ110" i="7"/>
  <c r="GP110" i="7"/>
  <c r="HC110" i="7"/>
  <c r="GQ110" i="7"/>
  <c r="I110" i="7"/>
  <c r="GZ112" i="7"/>
  <c r="HC112" i="7"/>
  <c r="I112" i="7"/>
  <c r="CZ41" i="1"/>
  <c r="Y41" i="1" s="1"/>
  <c r="U112" i="7" s="1"/>
  <c r="K112" i="7" s="1"/>
  <c r="I111" i="7"/>
  <c r="GY111" i="7"/>
  <c r="HC111" i="7"/>
  <c r="CY41" i="1"/>
  <c r="X41" i="1" s="1"/>
  <c r="U111" i="7" s="1"/>
  <c r="K111" i="7" s="1"/>
  <c r="HC107" i="7"/>
  <c r="GK107" i="7"/>
  <c r="GJ107" i="7"/>
  <c r="I107" i="7"/>
  <c r="CP41" i="1"/>
  <c r="O41" i="1" s="1"/>
  <c r="CP37" i="1"/>
  <c r="O37" i="1" s="1"/>
  <c r="CP36" i="1"/>
  <c r="O36" i="1" s="1"/>
  <c r="CZ37" i="1"/>
  <c r="Y37" i="1" s="1"/>
  <c r="U96" i="7" s="1"/>
  <c r="K96" i="7" s="1"/>
  <c r="GN101" i="7"/>
  <c r="GP101" i="7"/>
  <c r="GS101" i="7"/>
  <c r="GJ101" i="7"/>
  <c r="HC101" i="7"/>
  <c r="GQ101" i="7"/>
  <c r="I101" i="7"/>
  <c r="R105" i="7"/>
  <c r="GJ100" i="7"/>
  <c r="GK100" i="7"/>
  <c r="I100" i="7"/>
  <c r="HC100" i="7"/>
  <c r="I102" i="7"/>
  <c r="GY102" i="7"/>
  <c r="HC102" i="7"/>
  <c r="GZ103" i="7"/>
  <c r="HC103" i="7"/>
  <c r="I103" i="7"/>
  <c r="K100" i="7"/>
  <c r="R98" i="7"/>
  <c r="GJ93" i="7"/>
  <c r="GK93" i="7"/>
  <c r="I93" i="7"/>
  <c r="HC93" i="7"/>
  <c r="GN94" i="7"/>
  <c r="GS94" i="7"/>
  <c r="GJ94" i="7"/>
  <c r="HC94" i="7"/>
  <c r="GQ94" i="7"/>
  <c r="I94" i="7"/>
  <c r="GP94" i="7"/>
  <c r="K93" i="7"/>
  <c r="GZ96" i="7"/>
  <c r="I96" i="7"/>
  <c r="HC96" i="7"/>
  <c r="I95" i="7"/>
  <c r="HC95" i="7"/>
  <c r="GY95" i="7"/>
  <c r="CY34" i="1"/>
  <c r="X34" i="1" s="1"/>
  <c r="CZ35" i="1"/>
  <c r="Y35" i="1" s="1"/>
  <c r="U89" i="7" s="1"/>
  <c r="K89" i="7" s="1"/>
  <c r="K86" i="7"/>
  <c r="GZ89" i="7"/>
  <c r="I89" i="7"/>
  <c r="HC89" i="7"/>
  <c r="HC84" i="7"/>
  <c r="GK84" i="7"/>
  <c r="I84" i="7"/>
  <c r="GJ84" i="7"/>
  <c r="CP32" i="1"/>
  <c r="O32" i="1" s="1"/>
  <c r="CP30" i="1"/>
  <c r="O30" i="1" s="1"/>
  <c r="K84" i="7"/>
  <c r="GN87" i="7"/>
  <c r="GS87" i="7"/>
  <c r="GJ87" i="7"/>
  <c r="GP87" i="7"/>
  <c r="HC87" i="7"/>
  <c r="GQ87" i="7"/>
  <c r="I87" i="7"/>
  <c r="I88" i="7"/>
  <c r="GY88" i="7"/>
  <c r="HC88" i="7"/>
  <c r="CY35" i="1"/>
  <c r="X35" i="1" s="1"/>
  <c r="U88" i="7" s="1"/>
  <c r="K88" i="7" s="1"/>
  <c r="CR35" i="1"/>
  <c r="Q35" i="1" s="1"/>
  <c r="U85" i="7" s="1"/>
  <c r="K85" i="7" s="1"/>
  <c r="T85" i="7"/>
  <c r="R91" i="7" s="1"/>
  <c r="H85" i="7"/>
  <c r="AB35" i="1"/>
  <c r="H83" i="7" s="1"/>
  <c r="CP34" i="1"/>
  <c r="O34" i="1" s="1"/>
  <c r="K78" i="7"/>
  <c r="I79" i="7"/>
  <c r="HE79" i="7"/>
  <c r="GY79" i="7"/>
  <c r="GZ80" i="7"/>
  <c r="I80" i="7"/>
  <c r="HE80" i="7"/>
  <c r="R82" i="7"/>
  <c r="GJ78" i="7"/>
  <c r="HE78" i="7"/>
  <c r="I78" i="7"/>
  <c r="GK78" i="7"/>
  <c r="K69" i="7"/>
  <c r="CZ31" i="1"/>
  <c r="Y31" i="1" s="1"/>
  <c r="U74" i="7" s="1"/>
  <c r="K74" i="7" s="1"/>
  <c r="K71" i="7"/>
  <c r="HC69" i="7"/>
  <c r="GK69" i="7"/>
  <c r="GJ69" i="7"/>
  <c r="I69" i="7"/>
  <c r="EI83" i="1"/>
  <c r="P93" i="1" s="1"/>
  <c r="DX83" i="1"/>
  <c r="DX22" i="1" s="1"/>
  <c r="I73" i="7"/>
  <c r="GY73" i="7"/>
  <c r="HC73" i="7"/>
  <c r="GN72" i="7"/>
  <c r="HC72" i="7"/>
  <c r="I72" i="7"/>
  <c r="GP72" i="7"/>
  <c r="GS72" i="7"/>
  <c r="GJ72" i="7"/>
  <c r="GQ72" i="7"/>
  <c r="FY83" i="1"/>
  <c r="EP83" i="1" s="1"/>
  <c r="GZ74" i="7"/>
  <c r="HC74" i="7"/>
  <c r="I74" i="7"/>
  <c r="AP83" i="1"/>
  <c r="AP22" i="1" s="1"/>
  <c r="CR31" i="1"/>
  <c r="Q31" i="1" s="1"/>
  <c r="U70" i="7" s="1"/>
  <c r="K70" i="7" s="1"/>
  <c r="T70" i="7"/>
  <c r="R76" i="7" s="1"/>
  <c r="H70" i="7"/>
  <c r="CY31" i="1"/>
  <c r="X31" i="1" s="1"/>
  <c r="U73" i="7" s="1"/>
  <c r="K73" i="7" s="1"/>
  <c r="CI83" i="1"/>
  <c r="AZ83" i="1" s="1"/>
  <c r="GZ65" i="7"/>
  <c r="I65" i="7"/>
  <c r="HE65" i="7"/>
  <c r="K63" i="7"/>
  <c r="I64" i="7"/>
  <c r="GY64" i="7"/>
  <c r="HE64" i="7"/>
  <c r="CY28" i="1"/>
  <c r="X28" i="1" s="1"/>
  <c r="CG83" i="1"/>
  <c r="CG22" i="1" s="1"/>
  <c r="AQ83" i="1"/>
  <c r="AQ22" i="1" s="1"/>
  <c r="GA83" i="1"/>
  <c r="GA22" i="1" s="1"/>
  <c r="EH83" i="1"/>
  <c r="EH112" i="1" s="1"/>
  <c r="R67" i="7"/>
  <c r="GJ63" i="7"/>
  <c r="GK63" i="7"/>
  <c r="I63" i="7"/>
  <c r="HE63" i="7"/>
  <c r="ES83" i="1"/>
  <c r="ES112" i="1" s="1"/>
  <c r="DZ83" i="1"/>
  <c r="DZ22" i="1" s="1"/>
  <c r="CZ27" i="1"/>
  <c r="Y27" i="1" s="1"/>
  <c r="U59" i="7" s="1"/>
  <c r="K59" i="7" s="1"/>
  <c r="K56" i="7"/>
  <c r="GN57" i="7"/>
  <c r="GS57" i="7"/>
  <c r="GJ57" i="7"/>
  <c r="I57" i="7"/>
  <c r="GP57" i="7"/>
  <c r="HC57" i="7"/>
  <c r="GQ57" i="7"/>
  <c r="GZ59" i="7"/>
  <c r="I59" i="7"/>
  <c r="HC59" i="7"/>
  <c r="HC54" i="7"/>
  <c r="GK54" i="7"/>
  <c r="I54" i="7"/>
  <c r="GJ54" i="7"/>
  <c r="I58" i="7"/>
  <c r="HC58" i="7"/>
  <c r="GY58" i="7"/>
  <c r="CR27" i="1"/>
  <c r="Q27" i="1" s="1"/>
  <c r="U55" i="7" s="1"/>
  <c r="T55" i="7"/>
  <c r="R61" i="7" s="1"/>
  <c r="H55" i="7"/>
  <c r="AB27" i="1"/>
  <c r="H53" i="7" s="1"/>
  <c r="DW83" i="1"/>
  <c r="DW22" i="1" s="1"/>
  <c r="T83" i="1"/>
  <c r="F104" i="1" s="1"/>
  <c r="CP26" i="1"/>
  <c r="O26" i="1" s="1"/>
  <c r="I49" i="7"/>
  <c r="HB49" i="7"/>
  <c r="GY49" i="7"/>
  <c r="R52" i="7"/>
  <c r="GJ48" i="7"/>
  <c r="I48" i="7"/>
  <c r="HB48" i="7"/>
  <c r="GK48" i="7"/>
  <c r="GZ50" i="7"/>
  <c r="I50" i="7"/>
  <c r="HB50" i="7"/>
  <c r="GM40" i="1"/>
  <c r="GO40" i="1"/>
  <c r="AB29" i="1"/>
  <c r="H62" i="7" s="1"/>
  <c r="GM38" i="1"/>
  <c r="GO38" i="1"/>
  <c r="CY29" i="1"/>
  <c r="X29" i="1" s="1"/>
  <c r="U64" i="7" s="1"/>
  <c r="K64" i="7" s="1"/>
  <c r="CY33" i="1"/>
  <c r="X33" i="1" s="1"/>
  <c r="U79" i="7" s="1"/>
  <c r="K79" i="7" s="1"/>
  <c r="GM42" i="1"/>
  <c r="GP42" i="1"/>
  <c r="GP51" i="1"/>
  <c r="GM51" i="1"/>
  <c r="GN62" i="1"/>
  <c r="GM62" i="1"/>
  <c r="CZ48" i="1"/>
  <c r="Y48" i="1" s="1"/>
  <c r="GM48" i="1" s="1"/>
  <c r="GM80" i="1"/>
  <c r="GN80" i="1"/>
  <c r="BC22" i="1"/>
  <c r="F99" i="1"/>
  <c r="BC112" i="1"/>
  <c r="AB74" i="1"/>
  <c r="AI22" i="1"/>
  <c r="V83" i="1"/>
  <c r="CJ22" i="1"/>
  <c r="BA83" i="1"/>
  <c r="CZ26" i="1"/>
  <c r="Y26" i="1" s="1"/>
  <c r="AE83" i="1"/>
  <c r="CZ30" i="1"/>
  <c r="Y30" i="1" s="1"/>
  <c r="CZ32" i="1"/>
  <c r="Y32" i="1" s="1"/>
  <c r="GN52" i="1"/>
  <c r="GM52" i="1"/>
  <c r="GN56" i="1"/>
  <c r="GM56" i="1"/>
  <c r="GN60" i="1"/>
  <c r="GM60" i="1"/>
  <c r="CZ71" i="1"/>
  <c r="Y71" i="1" s="1"/>
  <c r="AO22" i="1"/>
  <c r="F87" i="1"/>
  <c r="AO112" i="1"/>
  <c r="CZ69" i="1"/>
  <c r="Y69" i="1" s="1"/>
  <c r="GM75" i="1"/>
  <c r="GN75" i="1"/>
  <c r="CZ70" i="1"/>
  <c r="Y70" i="1" s="1"/>
  <c r="GN70" i="1" s="1"/>
  <c r="CP74" i="1"/>
  <c r="O74" i="1" s="1"/>
  <c r="DY22" i="1"/>
  <c r="DL83" i="1"/>
  <c r="AJ22" i="1"/>
  <c r="W83" i="1"/>
  <c r="CZ76" i="1"/>
  <c r="Y76" i="1" s="1"/>
  <c r="GM76" i="1" s="1"/>
  <c r="AH22" i="1"/>
  <c r="U83" i="1"/>
  <c r="CP25" i="1"/>
  <c r="O25" i="1" s="1"/>
  <c r="DU83" i="1"/>
  <c r="GM44" i="1"/>
  <c r="GO44" i="1"/>
  <c r="GN64" i="1"/>
  <c r="GM64" i="1"/>
  <c r="GN66" i="1"/>
  <c r="GM66" i="1"/>
  <c r="BB22" i="1"/>
  <c r="F96" i="1"/>
  <c r="BB112" i="1"/>
  <c r="GM78" i="1"/>
  <c r="GN78" i="1"/>
  <c r="CP81" i="1"/>
  <c r="O81" i="1" s="1"/>
  <c r="AB81" i="1"/>
  <c r="EA22" i="1"/>
  <c r="DN83" i="1"/>
  <c r="AB31" i="1"/>
  <c r="H68" i="7" s="1"/>
  <c r="AB25" i="1"/>
  <c r="H47" i="7" s="1"/>
  <c r="CP33" i="1"/>
  <c r="O33" i="1" s="1"/>
  <c r="CY25" i="1"/>
  <c r="X25" i="1" s="1"/>
  <c r="CY27" i="1"/>
  <c r="X27" i="1" s="1"/>
  <c r="U58" i="7" s="1"/>
  <c r="K58" i="7" s="1"/>
  <c r="AD83" i="1"/>
  <c r="CP24" i="1"/>
  <c r="O24" i="1" s="1"/>
  <c r="AC83" i="1"/>
  <c r="AB30" i="1"/>
  <c r="AB32" i="1"/>
  <c r="CZ25" i="1"/>
  <c r="Y25" i="1" s="1"/>
  <c r="AB33" i="1"/>
  <c r="H77" i="7" s="1"/>
  <c r="CY26" i="1"/>
  <c r="X26" i="1" s="1"/>
  <c r="CP28" i="1"/>
  <c r="O28" i="1" s="1"/>
  <c r="AB34" i="1"/>
  <c r="CP29" i="1"/>
  <c r="O29" i="1" s="1"/>
  <c r="GN54" i="1"/>
  <c r="GM54" i="1"/>
  <c r="GN58" i="1"/>
  <c r="GM58" i="1"/>
  <c r="AB73" i="1"/>
  <c r="CZ74" i="1"/>
  <c r="Y74" i="1" s="1"/>
  <c r="EG22" i="1"/>
  <c r="P87" i="1"/>
  <c r="EG112" i="1"/>
  <c r="ET22" i="1"/>
  <c r="ET112" i="1"/>
  <c r="P96" i="1"/>
  <c r="GM72" i="1"/>
  <c r="GN79" i="1"/>
  <c r="EU22" i="1"/>
  <c r="EU112" i="1"/>
  <c r="P99" i="1"/>
  <c r="AF22" i="1"/>
  <c r="S83" i="1"/>
  <c r="EB22" i="1"/>
  <c r="DO83" i="1"/>
  <c r="HA193" i="7" l="1"/>
  <c r="H193" i="7"/>
  <c r="GM68" i="1"/>
  <c r="GN73" i="1"/>
  <c r="GN59" i="1"/>
  <c r="GN76" i="1"/>
  <c r="HA190" i="7"/>
  <c r="H190" i="7"/>
  <c r="S190" i="7"/>
  <c r="J190" i="7" s="1"/>
  <c r="K188" i="7"/>
  <c r="GM63" i="1"/>
  <c r="GN67" i="1"/>
  <c r="HA187" i="7"/>
  <c r="H187" i="7"/>
  <c r="H184" i="7"/>
  <c r="HA184" i="7"/>
  <c r="GM71" i="1"/>
  <c r="HA181" i="7"/>
  <c r="H181" i="7"/>
  <c r="S181" i="7"/>
  <c r="J181" i="7" s="1"/>
  <c r="K179" i="7"/>
  <c r="GM55" i="1"/>
  <c r="GM39" i="1"/>
  <c r="GM61" i="1"/>
  <c r="GN69" i="1"/>
  <c r="HA178" i="7"/>
  <c r="H178" i="7"/>
  <c r="GM65" i="1"/>
  <c r="GM57" i="1"/>
  <c r="GM36" i="1"/>
  <c r="S142" i="7"/>
  <c r="J142" i="7" s="1"/>
  <c r="HA175" i="7"/>
  <c r="H175" i="7"/>
  <c r="H172" i="7"/>
  <c r="HA172" i="7"/>
  <c r="GP43" i="1"/>
  <c r="HA169" i="7"/>
  <c r="H169" i="7"/>
  <c r="S169" i="7"/>
  <c r="J169" i="7" s="1"/>
  <c r="K167" i="7"/>
  <c r="HA166" i="7"/>
  <c r="H166" i="7"/>
  <c r="GP49" i="1"/>
  <c r="S166" i="7"/>
  <c r="J166" i="7" s="1"/>
  <c r="K164" i="7"/>
  <c r="S120" i="7"/>
  <c r="J120" i="7" s="1"/>
  <c r="GM49" i="1"/>
  <c r="GM43" i="1"/>
  <c r="S163" i="7"/>
  <c r="J163" i="7" s="1"/>
  <c r="K161" i="7"/>
  <c r="H163" i="7"/>
  <c r="HA163" i="7"/>
  <c r="GO39" i="1"/>
  <c r="S105" i="7"/>
  <c r="J105" i="7" s="1"/>
  <c r="S160" i="7"/>
  <c r="J160" i="7" s="1"/>
  <c r="K158" i="7"/>
  <c r="H160" i="7"/>
  <c r="HA160" i="7"/>
  <c r="GM53" i="1"/>
  <c r="GP50" i="1"/>
  <c r="GO46" i="1"/>
  <c r="H157" i="7"/>
  <c r="HA157" i="7"/>
  <c r="S157" i="7"/>
  <c r="J157" i="7" s="1"/>
  <c r="K155" i="7"/>
  <c r="H154" i="7"/>
  <c r="HA154" i="7"/>
  <c r="S154" i="7"/>
  <c r="J154" i="7" s="1"/>
  <c r="K152" i="7"/>
  <c r="S129" i="7"/>
  <c r="J129" i="7" s="1"/>
  <c r="HA151" i="7"/>
  <c r="H151" i="7"/>
  <c r="S151" i="7"/>
  <c r="J151" i="7" s="1"/>
  <c r="K149" i="7"/>
  <c r="GO45" i="1"/>
  <c r="GO36" i="1"/>
  <c r="P103" i="1"/>
  <c r="GL108" i="7"/>
  <c r="GP48" i="1"/>
  <c r="HA148" i="7"/>
  <c r="H148" i="7"/>
  <c r="GM47" i="1"/>
  <c r="GO47" i="1"/>
  <c r="H142" i="7"/>
  <c r="HA142" i="7"/>
  <c r="GM32" i="1"/>
  <c r="HC108" i="7"/>
  <c r="I108" i="7"/>
  <c r="GM45" i="1"/>
  <c r="GJ108" i="7"/>
  <c r="S136" i="7"/>
  <c r="J136" i="7" s="1"/>
  <c r="H136" i="7"/>
  <c r="HA136" i="7"/>
  <c r="HA129" i="7"/>
  <c r="H129" i="7"/>
  <c r="H120" i="7"/>
  <c r="HA120" i="7"/>
  <c r="GM34" i="1"/>
  <c r="S98" i="7"/>
  <c r="J98" i="7" s="1"/>
  <c r="GO37" i="1"/>
  <c r="GO41" i="1"/>
  <c r="ES22" i="1"/>
  <c r="GM37" i="1"/>
  <c r="CP35" i="1"/>
  <c r="O35" i="1" s="1"/>
  <c r="GM35" i="1" s="1"/>
  <c r="H114" i="7"/>
  <c r="HA114" i="7"/>
  <c r="GO34" i="1"/>
  <c r="S114" i="7"/>
  <c r="J114" i="7" s="1"/>
  <c r="GM41" i="1"/>
  <c r="H105" i="7"/>
  <c r="HA105" i="7"/>
  <c r="FY22" i="1"/>
  <c r="H98" i="7"/>
  <c r="HA98" i="7"/>
  <c r="F93" i="1"/>
  <c r="AQ112" i="1"/>
  <c r="F122" i="1" s="1"/>
  <c r="GM30" i="1"/>
  <c r="H91" i="7"/>
  <c r="HA91" i="7"/>
  <c r="S91" i="7"/>
  <c r="J91" i="7" s="1"/>
  <c r="HC85" i="7"/>
  <c r="GL85" i="7"/>
  <c r="GJ85" i="7"/>
  <c r="I85" i="7"/>
  <c r="T112" i="1"/>
  <c r="T18" i="1" s="1"/>
  <c r="T22" i="1"/>
  <c r="DV83" i="1"/>
  <c r="DI83" i="1" s="1"/>
  <c r="DI22" i="1" s="1"/>
  <c r="HA82" i="7"/>
  <c r="H82" i="7"/>
  <c r="S82" i="7"/>
  <c r="J82" i="7" s="1"/>
  <c r="DK83" i="1"/>
  <c r="DK112" i="1" s="1"/>
  <c r="GP32" i="1"/>
  <c r="EI112" i="1"/>
  <c r="EI18" i="1" s="1"/>
  <c r="F92" i="1"/>
  <c r="G16" i="2" s="1"/>
  <c r="G18" i="2" s="1"/>
  <c r="EI22" i="1"/>
  <c r="CI22" i="1"/>
  <c r="HA76" i="7"/>
  <c r="H76" i="7"/>
  <c r="P92" i="1"/>
  <c r="V16" i="2" s="1"/>
  <c r="V18" i="2" s="1"/>
  <c r="S76" i="7"/>
  <c r="J76" i="7" s="1"/>
  <c r="AP112" i="1"/>
  <c r="AP18" i="1" s="1"/>
  <c r="AX83" i="1"/>
  <c r="AX22" i="1" s="1"/>
  <c r="EH22" i="1"/>
  <c r="CP31" i="1"/>
  <c r="O31" i="1" s="1"/>
  <c r="GO31" i="1" s="1"/>
  <c r="HC70" i="7"/>
  <c r="GL70" i="7"/>
  <c r="GJ70" i="7"/>
  <c r="I70" i="7"/>
  <c r="AL83" i="1"/>
  <c r="Y83" i="1" s="1"/>
  <c r="ER83" i="1"/>
  <c r="P94" i="1" s="1"/>
  <c r="S67" i="7"/>
  <c r="J67" i="7" s="1"/>
  <c r="H67" i="7"/>
  <c r="HA67" i="7"/>
  <c r="DM83" i="1"/>
  <c r="P105" i="1" s="1"/>
  <c r="GM26" i="1"/>
  <c r="K55" i="7"/>
  <c r="S61" i="7"/>
  <c r="J61" i="7" s="1"/>
  <c r="H61" i="7"/>
  <c r="HA61" i="7"/>
  <c r="CP27" i="1"/>
  <c r="O27" i="1" s="1"/>
  <c r="GO27" i="1" s="1"/>
  <c r="HC55" i="7"/>
  <c r="GL55" i="7"/>
  <c r="GJ55" i="7"/>
  <c r="I55" i="7"/>
  <c r="AK83" i="1"/>
  <c r="X83" i="1" s="1"/>
  <c r="DJ83" i="1"/>
  <c r="DJ22" i="1" s="1"/>
  <c r="GO26" i="1"/>
  <c r="HA52" i="7"/>
  <c r="H52" i="7"/>
  <c r="ED83" i="1"/>
  <c r="ED22" i="1" s="1"/>
  <c r="U50" i="7"/>
  <c r="K50" i="7" s="1"/>
  <c r="EC83" i="1"/>
  <c r="DP83" i="1" s="1"/>
  <c r="U49" i="7"/>
  <c r="EH18" i="1"/>
  <c r="P121" i="1"/>
  <c r="S22" i="1"/>
  <c r="F98" i="1"/>
  <c r="J16" i="2" s="1"/>
  <c r="J18" i="2" s="1"/>
  <c r="S112" i="1"/>
  <c r="DN22" i="1"/>
  <c r="DN112" i="1"/>
  <c r="P106" i="1"/>
  <c r="GM81" i="1"/>
  <c r="GN81" i="1"/>
  <c r="DL22" i="1"/>
  <c r="P104" i="1"/>
  <c r="DL112" i="1"/>
  <c r="AZ22" i="1"/>
  <c r="F94" i="1"/>
  <c r="AZ112" i="1"/>
  <c r="AO18" i="1"/>
  <c r="F116" i="1"/>
  <c r="BC18" i="1"/>
  <c r="F128" i="1"/>
  <c r="GM70" i="1"/>
  <c r="GM69" i="1"/>
  <c r="DU22" i="1"/>
  <c r="FZ83" i="1"/>
  <c r="FW83" i="1"/>
  <c r="FX83" i="1"/>
  <c r="DH83" i="1"/>
  <c r="AE22" i="1"/>
  <c r="R83" i="1"/>
  <c r="V22" i="1"/>
  <c r="F106" i="1"/>
  <c r="V112" i="1"/>
  <c r="ET18" i="1"/>
  <c r="P125" i="1"/>
  <c r="GM28" i="1"/>
  <c r="GP28" i="1"/>
  <c r="GM29" i="1"/>
  <c r="GP29" i="1"/>
  <c r="GN24" i="1"/>
  <c r="GM24" i="1"/>
  <c r="AB83" i="1"/>
  <c r="GM33" i="1"/>
  <c r="GP33" i="1"/>
  <c r="GM25" i="1"/>
  <c r="GN25" i="1"/>
  <c r="W22" i="1"/>
  <c r="F107" i="1"/>
  <c r="W112" i="1"/>
  <c r="GM74" i="1"/>
  <c r="GN74" i="1"/>
  <c r="GO30" i="1"/>
  <c r="GN71" i="1"/>
  <c r="AC22" i="1"/>
  <c r="CH83" i="1"/>
  <c r="CE83" i="1"/>
  <c r="P83" i="1"/>
  <c r="CF83" i="1"/>
  <c r="DO22" i="1"/>
  <c r="DO112" i="1"/>
  <c r="P107" i="1"/>
  <c r="ES18" i="1"/>
  <c r="P132" i="1"/>
  <c r="EU18" i="1"/>
  <c r="P128" i="1"/>
  <c r="EG18" i="1"/>
  <c r="P116" i="1"/>
  <c r="AD22" i="1"/>
  <c r="Q83" i="1"/>
  <c r="BB18" i="1"/>
  <c r="F125" i="1"/>
  <c r="U22" i="1"/>
  <c r="U112" i="1"/>
  <c r="F105" i="1"/>
  <c r="BA22" i="1"/>
  <c r="F103" i="1"/>
  <c r="BA112" i="1"/>
  <c r="EP22" i="1"/>
  <c r="EP112" i="1"/>
  <c r="P90" i="1"/>
  <c r="CD83" i="1" l="1"/>
  <c r="CD22" i="1" s="1"/>
  <c r="P122" i="1"/>
  <c r="F133" i="1"/>
  <c r="GO35" i="1"/>
  <c r="FU83" i="1" s="1"/>
  <c r="EL83" i="1" s="1"/>
  <c r="DK22" i="1"/>
  <c r="AQ18" i="1"/>
  <c r="F90" i="1"/>
  <c r="DM22" i="1"/>
  <c r="ER112" i="1"/>
  <c r="ER18" i="1" s="1"/>
  <c r="ER22" i="1"/>
  <c r="AX112" i="1"/>
  <c r="F119" i="1" s="1"/>
  <c r="DI112" i="1"/>
  <c r="P124" i="1" s="1"/>
  <c r="P95" i="1"/>
  <c r="DJ112" i="1"/>
  <c r="DJ18" i="1" s="1"/>
  <c r="DV22" i="1"/>
  <c r="F121" i="1"/>
  <c r="P98" i="1"/>
  <c r="Y16" i="2" s="1"/>
  <c r="Y18" i="2" s="1"/>
  <c r="DM112" i="1"/>
  <c r="P134" i="1" s="1"/>
  <c r="P97" i="1"/>
  <c r="CC83" i="1"/>
  <c r="CC22" i="1" s="1"/>
  <c r="GM31" i="1"/>
  <c r="AL22" i="1"/>
  <c r="DT83" i="1"/>
  <c r="DT22" i="1" s="1"/>
  <c r="GM27" i="1"/>
  <c r="DQ83" i="1"/>
  <c r="DQ22" i="1" s="1"/>
  <c r="EC22" i="1"/>
  <c r="AK22" i="1"/>
  <c r="K49" i="7"/>
  <c r="S52" i="7"/>
  <c r="J52" i="7" s="1"/>
  <c r="CF22" i="1"/>
  <c r="AW83" i="1"/>
  <c r="W18" i="1"/>
  <c r="F136" i="1"/>
  <c r="FT83" i="1"/>
  <c r="V18" i="1"/>
  <c r="F135" i="1"/>
  <c r="FW22" i="1"/>
  <c r="EN83" i="1"/>
  <c r="X22" i="1"/>
  <c r="F108" i="1"/>
  <c r="X112" i="1"/>
  <c r="U18" i="1"/>
  <c r="F134" i="1"/>
  <c r="AB22" i="1"/>
  <c r="O83" i="1"/>
  <c r="FZ22" i="1"/>
  <c r="EQ83" i="1"/>
  <c r="DL18" i="1"/>
  <c r="P133" i="1"/>
  <c r="S18" i="1"/>
  <c r="F127" i="1"/>
  <c r="DK18" i="1"/>
  <c r="P127" i="1"/>
  <c r="P22" i="1"/>
  <c r="F86" i="1"/>
  <c r="P112" i="1"/>
  <c r="Q22" i="1"/>
  <c r="Q112" i="1"/>
  <c r="F95" i="1"/>
  <c r="DO18" i="1"/>
  <c r="P136" i="1"/>
  <c r="CE22" i="1"/>
  <c r="AV83" i="1"/>
  <c r="AX18" i="1"/>
  <c r="CA83" i="1"/>
  <c r="FV83" i="1"/>
  <c r="R22" i="1"/>
  <c r="F97" i="1"/>
  <c r="R112" i="1"/>
  <c r="DH22" i="1"/>
  <c r="DH112" i="1"/>
  <c r="P86" i="1"/>
  <c r="DP22" i="1"/>
  <c r="P108" i="1"/>
  <c r="DP112" i="1"/>
  <c r="AZ18" i="1"/>
  <c r="F123" i="1"/>
  <c r="Y22" i="1"/>
  <c r="Y112" i="1"/>
  <c r="F109" i="1"/>
  <c r="BA18" i="1"/>
  <c r="F132" i="1"/>
  <c r="EP18" i="1"/>
  <c r="P119" i="1"/>
  <c r="CH22" i="1"/>
  <c r="AY83" i="1"/>
  <c r="CB83" i="1"/>
  <c r="FX22" i="1"/>
  <c r="EO83" i="1"/>
  <c r="DN18" i="1"/>
  <c r="P135" i="1"/>
  <c r="AU83" i="1" l="1"/>
  <c r="AU22" i="1" s="1"/>
  <c r="DI18" i="1"/>
  <c r="P123" i="1"/>
  <c r="P126" i="1"/>
  <c r="DM18" i="1"/>
  <c r="FU22" i="1"/>
  <c r="AT83" i="1"/>
  <c r="AT112" i="1" s="1"/>
  <c r="FS83" i="1"/>
  <c r="FS22" i="1" s="1"/>
  <c r="P109" i="1"/>
  <c r="DG83" i="1"/>
  <c r="DG112" i="1" s="1"/>
  <c r="DQ112" i="1"/>
  <c r="DQ18" i="1" s="1"/>
  <c r="EO22" i="1"/>
  <c r="EO112" i="1"/>
  <c r="P89" i="1"/>
  <c r="R18" i="1"/>
  <c r="F126" i="1"/>
  <c r="AY22" i="1"/>
  <c r="AY112" i="1"/>
  <c r="F91" i="1"/>
  <c r="Y18" i="1"/>
  <c r="F138" i="1"/>
  <c r="DP18" i="1"/>
  <c r="P137" i="1"/>
  <c r="DH18" i="1"/>
  <c r="P115" i="1"/>
  <c r="P18" i="1"/>
  <c r="F115" i="1"/>
  <c r="EL22" i="1"/>
  <c r="EL112" i="1"/>
  <c r="P101" i="1"/>
  <c r="U16" i="2" s="1"/>
  <c r="U18" i="2" s="1"/>
  <c r="FV22" i="1"/>
  <c r="EM83" i="1"/>
  <c r="AV22" i="1"/>
  <c r="F88" i="1"/>
  <c r="AV112" i="1"/>
  <c r="EQ22" i="1"/>
  <c r="EQ112" i="1"/>
  <c r="P91" i="1"/>
  <c r="CA22" i="1"/>
  <c r="AR83" i="1"/>
  <c r="Q18" i="1"/>
  <c r="F124" i="1"/>
  <c r="EN22" i="1"/>
  <c r="P88" i="1"/>
  <c r="EN112" i="1"/>
  <c r="AW22" i="1"/>
  <c r="F89" i="1"/>
  <c r="AW112" i="1"/>
  <c r="CB22" i="1"/>
  <c r="AS83" i="1"/>
  <c r="O22" i="1"/>
  <c r="F85" i="1"/>
  <c r="O112" i="1"/>
  <c r="X18" i="1"/>
  <c r="F137" i="1"/>
  <c r="FT22" i="1"/>
  <c r="EK83" i="1"/>
  <c r="AU112" i="1" l="1"/>
  <c r="AU18" i="1" s="1"/>
  <c r="F102" i="1"/>
  <c r="H16" i="2" s="1"/>
  <c r="H18" i="2" s="1"/>
  <c r="AT22" i="1"/>
  <c r="F101" i="1"/>
  <c r="F16" i="2" s="1"/>
  <c r="F18" i="2" s="1"/>
  <c r="EJ83" i="1"/>
  <c r="P110" i="1" s="1"/>
  <c r="P85" i="1"/>
  <c r="DG22" i="1"/>
  <c r="P138" i="1"/>
  <c r="O18" i="1"/>
  <c r="F114" i="1"/>
  <c r="DG18" i="1"/>
  <c r="P114" i="1"/>
  <c r="AT18" i="1"/>
  <c r="F130" i="1"/>
  <c r="EQ18" i="1"/>
  <c r="P120" i="1"/>
  <c r="EL18" i="1"/>
  <c r="P130" i="1"/>
  <c r="EK22" i="1"/>
  <c r="EK112" i="1"/>
  <c r="P100" i="1"/>
  <c r="T16" i="2" s="1"/>
  <c r="EN18" i="1"/>
  <c r="P117" i="1"/>
  <c r="EM22" i="1"/>
  <c r="EM112" i="1"/>
  <c r="P102" i="1"/>
  <c r="W16" i="2" s="1"/>
  <c r="W18" i="2" s="1"/>
  <c r="AY18" i="1"/>
  <c r="F120" i="1"/>
  <c r="AS22" i="1"/>
  <c r="F100" i="1"/>
  <c r="E16" i="2" s="1"/>
  <c r="AS112" i="1"/>
  <c r="AR22" i="1"/>
  <c r="F110" i="1"/>
  <c r="AR112" i="1"/>
  <c r="AV18" i="1"/>
  <c r="F117" i="1"/>
  <c r="EO18" i="1"/>
  <c r="P118" i="1"/>
  <c r="AW18" i="1"/>
  <c r="F118" i="1"/>
  <c r="F131" i="1" l="1"/>
  <c r="EJ112" i="1"/>
  <c r="P139" i="1" s="1"/>
  <c r="EJ22" i="1"/>
  <c r="I16" i="2"/>
  <c r="I18" i="2" s="1"/>
  <c r="E18" i="2"/>
  <c r="EM18" i="1"/>
  <c r="P131" i="1"/>
  <c r="X16" i="2"/>
  <c r="X18" i="2" s="1"/>
  <c r="T18" i="2"/>
  <c r="AR18" i="1"/>
  <c r="F139" i="1"/>
  <c r="EK18" i="1"/>
  <c r="P129" i="1"/>
  <c r="AS18" i="1"/>
  <c r="F129" i="1"/>
  <c r="EJ18" i="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6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6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6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6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3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21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21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2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2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22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22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2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22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<sst xmlns="http://schemas.openxmlformats.org/spreadsheetml/2006/main" count="4808" uniqueCount="547">
  <si>
    <t>Smeta.RU  (495) 974-1589</t>
  </si>
  <si>
    <t>_PS_</t>
  </si>
  <si>
    <t>Smeta.RU</t>
  </si>
  <si>
    <t/>
  </si>
  <si>
    <t>Новый объект</t>
  </si>
  <si>
    <t>Установка РУ-10 кВ ТП514 2 комплексов учета электроэнергиии</t>
  </si>
  <si>
    <t>Сметные нормы списания</t>
  </si>
  <si>
    <t>Коды ценников</t>
  </si>
  <si>
    <t>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</si>
  <si>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</si>
  <si>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</si>
  <si>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</si>
  <si>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</si>
  <si>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</si>
  <si>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</si>
  <si>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</si>
  <si>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</si>
  <si>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</si>
  <si>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Ремонтно-строительные работы</t>
  </si>
  <si>
    <t>Прочие ремонтно-строительные работы</t>
  </si>
  <si>
    <t>ФЕРр-69</t>
  </si>
  <si>
    <t>2</t>
  </si>
  <si>
    <t>м08-01-053-01</t>
  </si>
  <si>
    <t>Трансформатор тока напряжением до 10 кВ</t>
  </si>
  <si>
    <t>ШТ</t>
  </si>
  <si>
    <t>ФЕРм-2001, м08-01-053-01,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</si>
  <si>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</si>
  <si>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</si>
  <si>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</si>
  <si>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3</t>
  </si>
  <si>
    <t>п01-02-017-02</t>
  </si>
  <si>
    <t>Трансформатор тока измерительный выносной напряжением до 11 кВ, с твердой изоляцией</t>
  </si>
  <si>
    <t>ФЕРп-2001, п01-02-017-02,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</si>
  <si>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</si>
  <si>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</si>
  <si>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</si>
  <si>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</si>
  <si>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м08-01-007-01</t>
  </si>
  <si>
    <t>Трансформатор трехфазный напряжения 35 кВ</t>
  </si>
  <si>
    <t>КОМПЛ</t>
  </si>
  <si>
    <t>ФЕРм-2001, м08-01-007-01, приказ Минстроя России №1039/пр от 30.12.2016г.</t>
  </si>
  <si>
    <t>5</t>
  </si>
  <si>
    <t>п01-02-016-02</t>
  </si>
  <si>
    <t>Трансформатор напряжения измерительный трехфазный напряжением до 11 кВ</t>
  </si>
  <si>
    <t>ФЕРп-2001, п01-02-016-02, приказ Минстроя России №1039/пр от 30.12.2016г.</t>
  </si>
  <si>
    <t>6</t>
  </si>
  <si>
    <t>м08-03-600-02</t>
  </si>
  <si>
    <t>Счетчики, устанавливаемые на готовом основании трехфазные</t>
  </si>
  <si>
    <t>ФЕРм-2001, м08-03-600-02, приказ Минстроя России №1039/пр от 30.12.2016г.</t>
  </si>
  <si>
    <t>7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</si>
  <si>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</si>
  <si>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</si>
  <si>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</si>
  <si>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</si>
  <si>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</si>
  <si>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</si>
  <si>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8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</si>
  <si>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</si>
  <si>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</si>
  <si>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</si>
  <si>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9</t>
  </si>
  <si>
    <t>м10-01-055-03</t>
  </si>
  <si>
    <t>Прокладка кабеля, масса 1 м до 1 кг, по стене бетонной</t>
  </si>
  <si>
    <t>ФЕРм-2001, м10-01-055-03,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</si>
  <si>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</si>
  <si>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</si>
  <si>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10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</si>
  <si>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</si>
  <si>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</si>
  <si>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</si>
  <si>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11</t>
  </si>
  <si>
    <t>м08-03-601-01</t>
  </si>
  <si>
    <t>Щиток лабораторный</t>
  </si>
  <si>
    <t>ФЕРм-2001, м08-03-601-01, приказ Минстроя России №1039/пр от 30.12.2016г.</t>
  </si>
  <si>
    <t>12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</si>
  <si>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</si>
  <si>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</si>
  <si>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</si>
  <si>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13</t>
  </si>
  <si>
    <t>п02-01-001-05</t>
  </si>
  <si>
    <t>Автоматизированная система управления I категории технической сложности с количеством каналов (Кобщ) 20</t>
  </si>
  <si>
    <t>система</t>
  </si>
  <si>
    <t>ФЕРп-2001, п02-01-001-05, приказ Минстроя России №1039/пр от 30.12.2016г.</t>
  </si>
  <si>
    <t>14</t>
  </si>
  <si>
    <t>п02-01-001-06</t>
  </si>
  <si>
    <t>Автоматизированная система управления I категории технической сложности с количеством каналов (Кобщ) за каждый канал свыше 20 до 39 добавлять к расценке 02-01-001-05</t>
  </si>
  <si>
    <t>канал</t>
  </si>
  <si>
    <t>ФЕРп-2001, п02-01-001-06, приказ Минстроя России №1039/пр от 30.12.2016г.</t>
  </si>
  <si>
    <t>15</t>
  </si>
  <si>
    <t>Прайс-лист</t>
  </si>
  <si>
    <t>Счётчик электрический многофункциональный Binom 309i У3.57</t>
  </si>
  <si>
    <t>Материалы ( строительные )</t>
  </si>
  <si>
    <t>Материалы, изделия и конструкции</t>
  </si>
  <si>
    <t>ресурс_Материалы (03)</t>
  </si>
  <si>
    <t>[63 799 /  12,5] +  2% Заг.скл</t>
  </si>
  <si>
    <t>16</t>
  </si>
  <si>
    <t>Трансформатор тока Т-0,66 Ва 200/5</t>
  </si>
  <si>
    <t>[389,38 /  12,5] +  2% Заг.скл</t>
  </si>
  <si>
    <t>17</t>
  </si>
  <si>
    <t>Трансформатор напряжения</t>
  </si>
  <si>
    <t>[16 465,83 /  12,5] +  2% Заг.скл</t>
  </si>
  <si>
    <t>18</t>
  </si>
  <si>
    <t>Din-рейка 60 см</t>
  </si>
  <si>
    <t>[4,29 /  12,5] +  2% Заг.скл</t>
  </si>
  <si>
    <t>19</t>
  </si>
  <si>
    <t>Преобразователь TVG715 V</t>
  </si>
  <si>
    <t>[7 500 /  12,5] +  2% Заг.скл</t>
  </si>
  <si>
    <t>20</t>
  </si>
  <si>
    <t>Преобразователь напряжения PRI-2002</t>
  </si>
  <si>
    <t>[1 500 /  12,5] +  2% Заг.скл</t>
  </si>
  <si>
    <t>21</t>
  </si>
  <si>
    <t>Модем GSM IRZ ТG21.В</t>
  </si>
  <si>
    <t>[2 936 /  12,5] +  2% Заг.скл</t>
  </si>
  <si>
    <t>22</t>
  </si>
  <si>
    <t>Модем USB 4G Huawei E3372H</t>
  </si>
  <si>
    <t>[3 038 /  12,5] +  2% Заг.скл</t>
  </si>
  <si>
    <t>23</t>
  </si>
  <si>
    <t>Блок питания DR15-12</t>
  </si>
  <si>
    <t>[996 /  12,5] +  2% Заг.скл</t>
  </si>
  <si>
    <t>24</t>
  </si>
  <si>
    <t>Коммутатор Mikrotik mAP RBmAP2nD</t>
  </si>
  <si>
    <t>[2 564 /  12,5] +  2% Заг.скл</t>
  </si>
  <si>
    <t>25</t>
  </si>
  <si>
    <t>3G Antenna teleofis RC30 SMA</t>
  </si>
  <si>
    <t>[335 /  12,5] +  2% Заг.скл</t>
  </si>
  <si>
    <t>26</t>
  </si>
  <si>
    <t>Переходник РЭМО-FME CRC9</t>
  </si>
  <si>
    <t>[483 /  12,5] +  2% Заг.скл</t>
  </si>
  <si>
    <t>27</t>
  </si>
  <si>
    <t>Щит ЩМП-1-0 (395х310х220) IP31</t>
  </si>
  <si>
    <t>[1 850 /  12,5] +  2% Заг.скл</t>
  </si>
  <si>
    <t>28</t>
  </si>
  <si>
    <t>Маршрутизатор Модуль - ТМ11.01</t>
  </si>
  <si>
    <t>[103 590 /  12,5] +  2% Заг.скл</t>
  </si>
  <si>
    <t>29</t>
  </si>
  <si>
    <t>Устройство ввода-вывода аналоговых и цифровых сигналов ИК УВВ 17.22</t>
  </si>
  <si>
    <t>[14 041,22 /  12,5] +  2% Заг.скл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</si>
  <si>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</si>
  <si>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</si>
  <si>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</si>
  <si>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</si>
  <si>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</si>
  <si>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</si>
  <si>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</si>
  <si>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</si>
  <si>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</si>
  <si>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</si>
  <si>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</si>
  <si>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</si>
  <si>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</si>
  <si>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</si>
  <si>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</si>
  <si>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</si>
  <si>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</si>
  <si>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</si>
  <si>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</si>
  <si>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</si>
  <si>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</si>
  <si>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</si>
  <si>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</si>
  <si>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</si>
  <si>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</si>
  <si>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</si>
  <si>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</si>
  <si>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</si>
  <si>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</si>
  <si>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</si>
  <si>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</si>
  <si>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</si>
  <si>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</si>
  <si>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</si>
  <si>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</si>
  <si>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</si>
  <si>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</si>
  <si>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</si>
  <si>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</si>
  <si>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</si>
  <si>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</si>
  <si>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</si>
  <si>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</si>
  <si>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</si>
  <si>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</si>
  <si>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</si>
  <si>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</si>
  <si>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</si>
  <si>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</si>
  <si>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</si>
  <si>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</si>
  <si>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</si>
  <si>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</si>
  <si>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</si>
  <si>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</si>
  <si>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</si>
  <si>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</si>
  <si>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</si>
  <si>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</si>
  <si>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</si>
  <si>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</si>
  <si>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</si>
  <si>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</si>
  <si>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</si>
  <si>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</si>
  <si>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</si>
  <si>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</si>
  <si>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</si>
  <si>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</si>
  <si>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</si>
  <si>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</si>
  <si>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</si>
  <si>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</si>
  <si>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</si>
  <si>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</si>
  <si>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</si>
  <si>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</si>
  <si>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</si>
  <si>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</si>
  <si>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</si>
  <si>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</si>
  <si>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</si>
  <si>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</si>
  <si>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</si>
  <si>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</si>
  <si>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</si>
  <si>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</si>
  <si>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</si>
  <si>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</si>
  <si>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</si>
  <si>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</si>
  <si>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</si>
  <si>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</si>
  <si>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</si>
  <si>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</si>
  <si>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</si>
  <si>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</si>
  <si>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</si>
  <si>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</si>
  <si>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</si>
  <si>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</si>
  <si>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</si>
  <si>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</si>
  <si>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</si>
  <si>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</si>
  <si>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</si>
  <si>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</si>
  <si>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</si>
  <si>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</si>
  <si>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</si>
  <si>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</si>
  <si>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</si>
  <si>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2019 г.</t>
  </si>
  <si>
    <t>Индексы за итогом</t>
  </si>
  <si>
    <t>_OBSM_</t>
  </si>
  <si>
    <t>1-100-30</t>
  </si>
  <si>
    <t>Рабочий среднего разряда 3</t>
  </si>
  <si>
    <t>чел.-ч.</t>
  </si>
  <si>
    <t>1-100-40</t>
  </si>
  <si>
    <t>Рабочий среднего разряда 4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</si>
  <si>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</si>
  <si>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</si>
  <si>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</si>
  <si>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</si>
  <si>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</si>
  <si>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</si>
  <si>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91.06.03-058</t>
  </si>
  <si>
    <t>ФСЭМ-2001, 91.06.03-058, приказ Минстроя России №1039/пр от 30.12.2016г.</t>
  </si>
  <si>
    <t>Лебедки электрические тяговым усилием 156,96 кН (16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</si>
  <si>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</si>
  <si>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</si>
  <si>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</si>
  <si>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</si>
  <si>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</si>
  <si>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</si>
  <si>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кг</t>
  </si>
  <si>
    <t>20.1.02.23-0082</t>
  </si>
  <si>
    <t>ФССЦ-2001, 20.1.02.23-0082, приказ Минстроя России №1039/пр от 30.12.2016г.</t>
  </si>
  <si>
    <t>Перемычки гибкие, тип ПГС-50</t>
  </si>
  <si>
    <t>10 шт.</t>
  </si>
  <si>
    <t>999-9950</t>
  </si>
  <si>
    <t>Вспомогательные ненормируемые материалы (2% от ОЗП)</t>
  </si>
  <si>
    <t>РУБ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</si>
  <si>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</si>
  <si>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</si>
  <si>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</si>
  <si>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</si>
  <si>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</si>
  <si>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</si>
  <si>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</si>
  <si>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</si>
  <si>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</si>
  <si>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</si>
  <si>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т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</si>
  <si>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</si>
  <si>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</si>
  <si>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</si>
  <si>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01.7.17.11-0001</t>
  </si>
  <si>
    <t>ФССЦ-2001, 01.7.17.11-0001, приказ Минстроя России №1039/пр от 30.12.2016г.</t>
  </si>
  <si>
    <t>Бумага шлифовальная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</si>
  <si>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</si>
  <si>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</si>
  <si>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</si>
  <si>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</si>
  <si>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</si>
  <si>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</si>
  <si>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</si>
  <si>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14.4.02.09-0001</t>
  </si>
  <si>
    <t>ФССЦ-2001, 14.4.02.09-0001, приказ Минстроя России №1039/пр от 30.12.2016г.</t>
  </si>
  <si>
    <t>Краска</t>
  </si>
  <si>
    <t>1-100-42</t>
  </si>
  <si>
    <t>Рабочий среднего разряда 4.2</t>
  </si>
  <si>
    <t>01.7.15.04-0011</t>
  </si>
  <si>
    <t>ФССЦ-2001, 01.7.15.04-0011, приказ Минстроя России №1039/пр от 30.12.2016г.</t>
  </si>
  <si>
    <t>Винты с полукруглой головкой длиной 50 мм</t>
  </si>
  <si>
    <t>1-100-50</t>
  </si>
  <si>
    <t>Рабочий среднего разряда 5</t>
  </si>
  <si>
    <t>01.7.19.04-0031</t>
  </si>
  <si>
    <t>ФССЦ-2001, 01.7.19.04-0031, приказ Минстроя России №1039/пр от 30.12.2016г.</t>
  </si>
  <si>
    <t>Прокладки резиновые (пластина техническая прессованная)</t>
  </si>
  <si>
    <t>25.2.01.01-0017</t>
  </si>
  <si>
    <t>ФССЦ-2001, 25.2.01.01-0017, приказ Минстроя России №1039/пр от 30.12.2016г.</t>
  </si>
  <si>
    <t>Бирки маркировочные пластмассовые</t>
  </si>
  <si>
    <t>100 шт.</t>
  </si>
  <si>
    <t>1-100-35</t>
  </si>
  <si>
    <t>Рабочий среднего разряда 3.5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</si>
  <si>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</si>
  <si>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</si>
  <si>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</si>
  <si>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01.7.15.14-0168</t>
  </si>
  <si>
    <t>ФССЦ-2001, 01.7.15.14-0168, приказ Минстроя России №1039/пр от 30.12.2016г.</t>
  </si>
  <si>
    <t>Шурупы с полукруглой головкой 5х70 мм</t>
  </si>
  <si>
    <t>03.1.01.01-0002</t>
  </si>
  <si>
    <t>ФССЦ-2001, 03.1.01.01-0002, приказ Минстроя России №1039/пр от 30.12.2016г.</t>
  </si>
  <si>
    <t>Гипсовые вяжущие, марка Г3</t>
  </si>
  <si>
    <t>08.3.03.04-0012</t>
  </si>
  <si>
    <t>ФССЦ-2001, 08.3.03.04-0012, приказ Минстроя России №1039/пр от 30.12.2016г.</t>
  </si>
  <si>
    <t>Проволока светлая диаметром 1,1 мм</t>
  </si>
  <si>
    <t>22.2.02.15-0003</t>
  </si>
  <si>
    <t>ФССЦ-2001, 22.2.02.15-0003, приказ Минстроя России №1039/пр от 30.12.2016г.</t>
  </si>
  <si>
    <t>Скрепы фигурные СкФ-30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</si>
  <si>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</si>
  <si>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</si>
  <si>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</si>
  <si>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</si>
  <si>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01.7.06.05-0041</t>
  </si>
  <si>
    <t>ФССЦ-2001, 01.7.06.05-0041, приказ Минстроя России №1039/пр от 30.12.2016г.</t>
  </si>
  <si>
    <t>Лента изоляционная прорезиненная односторонняя ширина 20 мм, толщина 0,25-0,35 мм</t>
  </si>
  <si>
    <t>01.7.15.07-0014</t>
  </si>
  <si>
    <t>ФССЦ-2001, 01.7.15.07-0014, приказ Минстроя России №1039/пр от 30.12.2016г.</t>
  </si>
  <si>
    <t>Дюбели распорные полипропиленовые</t>
  </si>
  <si>
    <t>14.4.03.03-0002</t>
  </si>
  <si>
    <t>ФССЦ-2001, 14.4.03.03-0002, приказ Минстроя России №1039/пр от 30.12.2016г.</t>
  </si>
  <si>
    <t>Лак битумный БТ-123</t>
  </si>
  <si>
    <t>01.7.15.03-0031</t>
  </si>
  <si>
    <t>ФССЦ-2001, 01.7.15.03-0031, приказ Минстроя России №1039/пр от 30.12.2016г.</t>
  </si>
  <si>
    <t>Болты с гайками и шайбами оцинкованные, диаметр 6 мм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</si>
  <si>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</si>
  <si>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</si>
  <si>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</si>
  <si>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</si>
  <si>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</si>
  <si>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</si>
  <si>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</si>
  <si>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</si>
  <si>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</si>
  <si>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</si>
  <si>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01.7.07.07</t>
  </si>
  <si>
    <t>Строительный мусор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</si>
  <si>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</si>
  <si>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</si>
  <si>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</si>
  <si>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</si>
  <si>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</si>
  <si>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</si>
  <si>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</si>
  <si>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</si>
  <si>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</si>
  <si>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</si>
  <si>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</si>
  <si>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</si>
  <si>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</si>
  <si>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</si>
  <si>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</si>
  <si>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</si>
  <si>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</si>
  <si>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</si>
  <si>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</si>
  <si>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</si>
  <si>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</si>
  <si>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</si>
  <si>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</si>
  <si>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</si>
  <si>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</si>
  <si>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</si>
  <si>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</si>
  <si>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</si>
  <si>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</si>
  <si>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</si>
  <si>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</si>
  <si>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</si>
  <si>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</si>
  <si>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</si>
  <si>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</si>
  <si>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</si>
  <si>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</si>
  <si>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</si>
  <si>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</si>
  <si>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</si>
  <si>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</si>
  <si>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</si>
  <si>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</si>
  <si>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</si>
  <si>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</si>
  <si>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</si>
  <si>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</si>
  <si>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</si>
  <si>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</si>
  <si>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</si>
  <si>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</si>
  <si>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</si>
  <si>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</si>
  <si>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</si>
  <si>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</si>
  <si>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</si>
  <si>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</si>
  <si>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</si>
  <si>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</si>
  <si>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</si>
  <si>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</si>
  <si>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</si>
  <si>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</si>
  <si>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</si>
  <si>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</si>
  <si>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</si>
  <si>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</si>
  <si>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</si>
  <si>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</si>
  <si>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</si>
  <si>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 ОЗП</t>
  </si>
  <si>
    <t xml:space="preserve">   НР от ФОТ</t>
  </si>
  <si>
    <t>%</t>
  </si>
  <si>
    <t xml:space="preserve">   СП от ФОТ</t>
  </si>
  <si>
    <t xml:space="preserve">   Затраты труда рабочих</t>
  </si>
  <si>
    <t>чел-ч</t>
  </si>
  <si>
    <t xml:space="preserve">   ЭММ</t>
  </si>
  <si>
    <t xml:space="preserve">   в т.ч. ЗПМ</t>
  </si>
  <si>
    <t xml:space="preserve">   Материальные ресурсы</t>
  </si>
  <si>
    <t xml:space="preserve"> Расчет цены </t>
  </si>
  <si>
    <t xml:space="preserve">   [63 799 /  12,5] +  2% Заг.скл = 5206</t>
  </si>
  <si>
    <t xml:space="preserve">   [389,38 /  12,5] +  2% Заг.скл = 31.77</t>
  </si>
  <si>
    <t xml:space="preserve">   [16 465,83 /  12,5] +  2% Заг.скл = 1343.62</t>
  </si>
  <si>
    <t xml:space="preserve">   [4,29 /  12,5] +  2% Заг.скл = .35</t>
  </si>
  <si>
    <t xml:space="preserve">   [7 500 /  12,5] +  2% Заг.скл = 612</t>
  </si>
  <si>
    <t xml:space="preserve">   [1 500 /  12,5] +  2% Заг.скл = 122.4</t>
  </si>
  <si>
    <t xml:space="preserve">   [2 936 /  12,5] +  2% Заг.скл = 239.58</t>
  </si>
  <si>
    <t xml:space="preserve">   [3 038 /  12,5] +  2% Заг.скл = 247.9</t>
  </si>
  <si>
    <t xml:space="preserve">   [996 /  12,5] +  2% Заг.скл = 81.27</t>
  </si>
  <si>
    <t xml:space="preserve">   [2 564 /  12,5] +  2% Заг.скл = 209.22</t>
  </si>
  <si>
    <t xml:space="preserve">   [335 /  12,5] +  2% Заг.скл = 27.34</t>
  </si>
  <si>
    <t xml:space="preserve">   [483 /  12,5] +  2% Заг.скл = 39.41</t>
  </si>
  <si>
    <t xml:space="preserve">   [1 850 /  12,5] +  2% Заг.скл = 150.96</t>
  </si>
  <si>
    <t xml:space="preserve">   [103 590 /  12,5] +  2% Заг.скл = 8452.94</t>
  </si>
  <si>
    <t xml:space="preserve">   [14 041,22 /  12,5] +  2% Заг.скл = 1145.77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</si>
  <si>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</si>
  <si>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</si>
  <si>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</si>
  <si>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</si>
  <si>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</si>
  <si>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</si>
  <si>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</si>
  <si>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</si>
  <si>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</si>
  <si>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</si>
  <si>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</si>
  <si>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</si>
  <si>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</si>
  <si>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</si>
  <si>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</si>
  <si>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</si>
  <si>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</si>
  <si>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</si>
  <si>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</si>
  <si>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</si>
  <si>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</si>
  <si>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</si>
  <si>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</si>
  <si>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- уровень цен, использованный последний раз (1 - базовый / 2 - текущий)</t>
  </si>
  <si>
    <t>РАСЧЕТ СТОИМОСТИ</t>
  </si>
  <si>
    <t>материалов</t>
  </si>
  <si>
    <t>№</t>
  </si>
  <si>
    <t>п/п</t>
  </si>
  <si>
    <t>Обосно-</t>
  </si>
  <si>
    <t>вание</t>
  </si>
  <si>
    <t>норматива</t>
  </si>
  <si>
    <t>Наименование</t>
  </si>
  <si>
    <t>материала</t>
  </si>
  <si>
    <t>Единица</t>
  </si>
  <si>
    <t>измере-</t>
  </si>
  <si>
    <t>ния</t>
  </si>
  <si>
    <t>Коли-</t>
  </si>
  <si>
    <t>чество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</si>
  <si>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</si>
  <si>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</si>
  <si>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</si>
  <si>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</si>
  <si>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</si>
  <si>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</si>
  <si>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</si>
  <si>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(учтенные в расценках)</t>
  </si>
  <si>
    <t>Расчет цены : (Цена в Базовом уровне * Индекс) = Цена в Текущем уровне                                         ( 9.04  * 12.5  = 113 )</t>
  </si>
  <si>
    <t>Без НДС</t>
  </si>
  <si>
    <t>Расчет цены : (Цена в Базовом уровне * Индекс) = Цена в Текущем уровне                                         ( 39  * 12.5  = 487.5 )</t>
  </si>
  <si>
    <t>Расчет цены : (Цена в Базовом уровне * Индекс) = Цена в Текущем уровне                                         ( 1  * 12.5  = 12.5 )</t>
  </si>
  <si>
    <t>Расчет цены : (Цена в Базовом уровне * Индекс) = Цена в Текущем уровне                                         ( 17500  * 12.5  = 218750 )</t>
  </si>
  <si>
    <t>Расчет цены : (Цена в Базовом уровне * Индекс) = Цена в Текущем уровне                                         ( 10.57  * 12.5  = 132.12 )</t>
  </si>
  <si>
    <t>Расчет цены : (Цена в Базовом уровне * Индекс) = Цена в Текущем уровне                                         ( 50  * 12.5  = 625 )</t>
  </si>
  <si>
    <t>Расчет цены : (Цена в Базовом уровне * Индекс) = Цена в Текущем уровне                                         ( 79.1  * 12.5  = 988.75 )</t>
  </si>
  <si>
    <t>Расчет цены : (Цена в Базовом уровне * Индекс) = Цена в Текущем уровне                                         ( 5000  * 12.5  = 62500 )</t>
  </si>
  <si>
    <t>Расчет цены : (Цена в Базовом уровне * Индекс) = Цена в Текущем уровне                                         ( 28.6  * 12.5  = 357.5 )</t>
  </si>
  <si>
    <t>Расчет цены : (Цена в Базовом уровне * Индекс) = Цена в Текущем уровне                                         ( 12430  * 12.5  = 155375 )</t>
  </si>
  <si>
    <t>Расчет цены : (Цена в Базовом уровне * Индекс) = Цена в Текущем уровне                                         ( 23.09  * 12.5  = 288.62 )</t>
  </si>
  <si>
    <t>Расчет цены : (Цена в Базовом уровне * Индекс) = Цена в Текущем уровне                                         ( 30.74  * 12.5  = 384.25 )</t>
  </si>
  <si>
    <t>Расчет цены : (Цена в Базовом уровне * Индекс) = Цена в Текущем уровне                                         ( 729.98  * 12.5  = 9124.75 )</t>
  </si>
  <si>
    <t>Расчет цены : (Цена в Базовом уровне * Индекс) = Цена в Текущем уровне                                         ( 10200  * 12.5  = 127500 )</t>
  </si>
  <si>
    <t>Расчет цены : (Цена в Базовом уровне * Индекс) = Цена в Текущем уровне                                         ( 155.74  * 12.5  = 1946.75 )</t>
  </si>
  <si>
    <t>Расчет цены : (Цена в Базовом уровне * Индекс) = Цена в Текущем уровне                                         ( 30.4  * 12.5  = 380 )</t>
  </si>
  <si>
    <t>Расчет цены : (Цена в Базовом уровне * Индекс) = Цена в Текущем уровне                                         ( 86  * 12.5  = 1075 )</t>
  </si>
  <si>
    <t>Расчет цены : (Цена в Базовом уровне * Индекс) = Цена в Текущем уровне                                         ( 7826.9  * 12.5  = 97836.25 )</t>
  </si>
  <si>
    <t>Расчет цены : (Цена в Базовом уровне * Индекс) = Цена в Текущем уровне                                         ( 28.22  * 12.5  = 352.75 )</t>
  </si>
  <si>
    <t>Итого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</si>
  <si>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</si>
  <si>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( 5206  * 12.5  = 65075 )</t>
  </si>
  <si>
    <t>Расчет цены : (Цена в Базовом уровне * Индекс) = Цена в Текущем уровне                                         ( 31.77  * 12.5  = 397.12 )</t>
  </si>
  <si>
    <t>Расчет цены : (Цена в Базовом уровне * Индекс) = Цена в Текущем уровне                                         ( 1343.62  * 12.5  = 16795.25 )</t>
  </si>
  <si>
    <t>Цена по прайсу : (занесенная вручную)</t>
  </si>
  <si>
    <t>Расчет цены : (Цена в Базовом уровне * Индекс) = Цена в Текущем уровне                                         ( 612  * 12.5  = 7650 )</t>
  </si>
  <si>
    <t>Расчет цены : (Цена в Базовом уровне * Индекс) = Цена в Текущем уровне                                         ( 122.4  * 12.5  = 1530 )</t>
  </si>
  <si>
    <t>Расчет цены : (Цена занесенная вручную * Индекс) = Цена в Текущем уровне                                         ( 239.58  * 12.5  = 2994.75 )</t>
  </si>
  <si>
    <t>Расчет цены : (Цена в Базовом уровне * Индекс) = Цена в Текущем уровне                                         ( 247.9  * 12.5  = 3098.75 )</t>
  </si>
  <si>
    <t>Расчет цены : (Цена занесенная вручную * Индекс) = Цена в Текущем уровне                                         ( 81.27  * 12.5  = 1015.88 )</t>
  </si>
  <si>
    <t>Расчет цены : (Цена в Базовом уровне * Индекс) = Цена в Текущем уровне                                         ( 209.22  * 12.5  = 2615.25 )</t>
  </si>
  <si>
    <t>Расчет цены : (Цена в Базовом уровне * Индекс) = Цена в Текущем уровне                                         ( 27.34  * 12.5  = 341.75 )</t>
  </si>
  <si>
    <t>Расчет цены : (Цена занесенная вручную * Индекс) = Цена в Текущем уровне                                         ( 39.41  * 12.5  = 492.62 )</t>
  </si>
  <si>
    <t>Расчет цены : (Цена в Базовом уровне * Индекс) = Цена в Текущем уровне                                         ( 150.96  * 12.5  = 1887 )</t>
  </si>
  <si>
    <t>Расчет цены : (Цена в Базовом уровне * Индекс) = Цена в Текущем уровне                                         ( 8452.94  * 12.5  = 105661.75 )</t>
  </si>
  <si>
    <t>Расчет цены : (Цена в Базовом уровне * Индекс) = Цена в Текущем уровне                                         ( 1145.77  * 12.5  = 14322.12 )</t>
  </si>
  <si>
    <t>- стоимость материалов (последний расчет)</t>
  </si>
  <si>
    <t>оборудования</t>
  </si>
  <si>
    <t>Не найдено ни одного ресурса выбранного типа.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</si>
</sst>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36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  <font>
      <b/>
      <u/>
      <sz val="12"/>
      <name val="Times New Roman"/>
      <family val="1"/>
      <charset val="204"/>
    </font>
    <font>
      <sz val="9"/>
      <color rgb="FFFFFFFF"/>
      <name val="Arial"/>
      <family val="2"/>
      <charset val="204"/>
    </font>
    <font>
      <sz val="9"/>
      <color rgb="FFFF00FF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49" fontId="14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4" fillId="0" borderId="8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 wrapText="1"/>
    </xf>
    <xf numFmtId="0" fontId="14" fillId="0" borderId="0" xfId="0" applyFont="1" applyAlignment="1">
      <alignment horizontal="right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0" fillId="0" borderId="0" xfId="0" applyAlignment="1"/>
    <xf numFmtId="14" fontId="0" fillId="0" borderId="0" xfId="0" applyNumberFormat="1"/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0" fontId="25" fillId="0" borderId="23" xfId="0" applyFont="1" applyBorder="1" applyAlignment="1">
      <alignment horizontal="left" vertical="top" wrapText="1" shrinkToFit="1"/>
    </xf>
    <xf numFmtId="49" fontId="12" fillId="0" borderId="23" xfId="0" applyNumberFormat="1" applyFont="1" applyBorder="1" applyAlignment="1">
      <alignment horizontal="left" vertical="top" wrapText="1"/>
    </xf>
    <xf numFmtId="49" fontId="24" fillId="0" borderId="23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4" fillId="0" borderId="10" xfId="0" applyFont="1" applyBorder="1" applyAlignment="1">
      <alignment vertical="top" shrinkToFit="1"/>
    </xf>
    <xf numFmtId="0" fontId="25" fillId="0" borderId="10" xfId="0" applyFont="1" applyBorder="1" applyAlignment="1">
      <alignment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26" fillId="0" borderId="28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right" vertical="top" wrapText="1"/>
    </xf>
    <xf numFmtId="0" fontId="26" fillId="0" borderId="28" xfId="0" applyFont="1" applyBorder="1" applyAlignment="1">
      <alignment horizontal="right" vertical="top" shrinkToFit="1"/>
    </xf>
    <xf numFmtId="0" fontId="26" fillId="0" borderId="28" xfId="0" applyFont="1" applyBorder="1" applyAlignment="1">
      <alignment vertical="top" shrinkToFit="1"/>
    </xf>
    <xf numFmtId="0" fontId="26" fillId="0" borderId="15" xfId="0" applyFont="1" applyBorder="1" applyAlignment="1">
      <alignment horizontal="left" vertical="top" wrapText="1"/>
    </xf>
    <xf numFmtId="3" fontId="26" fillId="0" borderId="28" xfId="0" applyNumberFormat="1" applyFont="1" applyBorder="1" applyAlignment="1">
      <alignment vertical="top" shrinkToFit="1"/>
    </xf>
    <xf numFmtId="4" fontId="26" fillId="0" borderId="28" xfId="0" applyNumberFormat="1" applyFont="1" applyBorder="1" applyAlignment="1">
      <alignment vertical="top" shrinkToFit="1"/>
    </xf>
    <xf numFmtId="4" fontId="26" fillId="0" borderId="29" xfId="0" applyNumberFormat="1" applyFont="1" applyBorder="1" applyAlignment="1">
      <alignment vertical="top" shrinkToFit="1"/>
    </xf>
    <xf numFmtId="9" fontId="26" fillId="0" borderId="28" xfId="0" applyNumberFormat="1" applyFont="1" applyBorder="1" applyAlignment="1">
      <alignment vertical="top" shrinkToFit="1"/>
    </xf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24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0" fontId="24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0" fontId="24" fillId="0" borderId="6" xfId="0" applyFont="1" applyBorder="1" applyAlignment="1">
      <alignment vertical="top" shrinkToFit="1"/>
    </xf>
    <xf numFmtId="0" fontId="25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4" fillId="0" borderId="6" xfId="0" applyNumberFormat="1" applyFont="1" applyBorder="1" applyAlignment="1">
      <alignment vertical="top" wrapText="1" shrinkToFit="1"/>
    </xf>
    <xf numFmtId="0" fontId="25" fillId="0" borderId="28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27" fillId="0" borderId="32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right" wrapText="1"/>
    </xf>
    <xf numFmtId="0" fontId="28" fillId="0" borderId="6" xfId="0" applyFont="1" applyBorder="1" applyAlignment="1">
      <alignment horizontal="right" shrinkToFit="1"/>
    </xf>
    <xf numFmtId="4" fontId="27" fillId="0" borderId="6" xfId="0" applyNumberFormat="1" applyFont="1" applyBorder="1" applyAlignment="1">
      <alignment vertical="top" shrinkToFit="1"/>
    </xf>
    <xf numFmtId="4" fontId="27" fillId="0" borderId="33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49" fontId="27" fillId="0" borderId="6" xfId="0" applyNumberFormat="1" applyFont="1" applyBorder="1" applyAlignment="1">
      <alignment horizontal="left" vertical="top" wrapText="1"/>
    </xf>
    <xf numFmtId="0" fontId="0" fillId="0" borderId="34" xfId="0" applyBorder="1"/>
    <xf numFmtId="0" fontId="24" fillId="0" borderId="35" xfId="0" applyFont="1" applyBorder="1" applyAlignment="1">
      <alignment horizontal="left" vertical="top"/>
    </xf>
    <xf numFmtId="0" fontId="0" fillId="0" borderId="35" xfId="0" applyBorder="1"/>
    <xf numFmtId="0" fontId="0" fillId="0" borderId="36" xfId="0" applyBorder="1"/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4" fontId="18" fillId="0" borderId="19" xfId="0" applyNumberFormat="1" applyFont="1" applyBorder="1" applyAlignment="1">
      <alignment shrinkToFit="1"/>
    </xf>
    <xf numFmtId="4" fontId="0" fillId="0" borderId="0" xfId="0" applyNumberFormat="1" applyAlignment="1">
      <alignment shrinkToFit="1"/>
    </xf>
    <xf numFmtId="0" fontId="29" fillId="0" borderId="0" xfId="0" applyFont="1"/>
    <xf numFmtId="0" fontId="0" fillId="0" borderId="0" xfId="0" applyAlignment="1">
      <alignment shrinkToFit="1"/>
    </xf>
    <xf numFmtId="0" fontId="30" fillId="0" borderId="0" xfId="0" applyFont="1"/>
    <xf numFmtId="0" fontId="18" fillId="0" borderId="0" xfId="0" applyFont="1" applyAlignment="1"/>
    <xf numFmtId="4" fontId="30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3" xfId="0" applyFont="1" applyBorder="1" applyAlignment="1">
      <alignment horizontal="center"/>
    </xf>
    <xf numFmtId="0" fontId="13" fillId="0" borderId="0" xfId="0" applyFont="1"/>
    <xf numFmtId="0" fontId="32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3" fillId="0" borderId="0" xfId="0" applyFont="1"/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 vertical="top" shrinkToFit="1"/>
    </xf>
    <xf numFmtId="4" fontId="17" fillId="0" borderId="0" xfId="0" applyNumberFormat="1" applyFont="1"/>
    <xf numFmtId="0" fontId="0" fillId="0" borderId="6" xfId="0" applyFill="1" applyBorder="1"/>
    <xf numFmtId="0" fontId="18" fillId="0" borderId="6" xfId="0" applyFont="1" applyFill="1" applyBorder="1" applyAlignment="1">
      <alignment horizontal="left" vertical="top"/>
    </xf>
    <xf numFmtId="4" fontId="18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/>
    <xf numFmtId="0" fontId="21" fillId="0" borderId="6" xfId="0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right" shrinkToFit="1"/>
    </xf>
    <xf numFmtId="4" fontId="21" fillId="0" borderId="6" xfId="0" applyNumberFormat="1" applyFont="1" applyFill="1" applyBorder="1" applyAlignment="1">
      <alignment horizontal="right" shrinkToFit="1"/>
    </xf>
    <xf numFmtId="0" fontId="28" fillId="0" borderId="6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0" xfId="0" applyFont="1"/>
    <xf numFmtId="0" fontId="35" fillId="0" borderId="3" xfId="0" applyFont="1" applyBorder="1" applyAlignment="1">
      <alignment horizontal="center"/>
    </xf>
    <xf numFmtId="167" fontId="21" fillId="0" borderId="6" xfId="0" applyNumberFormat="1" applyFont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9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78" t="s">
        <v>381</v>
      </c>
      <c r="B1" s="178"/>
      <c r="C1" s="178"/>
      <c r="D1" s="178"/>
      <c r="E1" s="178"/>
      <c r="F1" s="178"/>
      <c r="G1" s="178"/>
    </row>
    <row r="3" spans="1:255" x14ac:dyDescent="0.2">
      <c r="A3" s="23" t="s">
        <v>388</v>
      </c>
      <c r="B3" s="22"/>
      <c r="C3" s="33"/>
      <c r="D3" s="34"/>
      <c r="E3" s="34"/>
      <c r="F3" s="34"/>
      <c r="G3" s="34"/>
      <c r="BR3" s="25">
        <f>C3</f>
        <v>0</v>
      </c>
      <c r="IU3" s="26"/>
    </row>
    <row r="4" spans="1:255" x14ac:dyDescent="0.2">
      <c r="A4" s="23" t="s">
        <v>390</v>
      </c>
      <c r="B4" s="22"/>
      <c r="C4" s="30"/>
      <c r="D4" s="29"/>
      <c r="E4" s="29"/>
      <c r="F4" s="29"/>
      <c r="G4" s="29"/>
      <c r="BR4" s="25">
        <f>C4</f>
        <v>0</v>
      </c>
      <c r="IU4" s="26"/>
    </row>
    <row r="5" spans="1:255" x14ac:dyDescent="0.2">
      <c r="A5" s="23" t="s">
        <v>391</v>
      </c>
      <c r="B5" s="22"/>
      <c r="C5" s="30"/>
      <c r="D5" s="29"/>
      <c r="E5" s="29"/>
      <c r="F5" s="29"/>
      <c r="G5" s="29"/>
      <c r="BR5" s="25">
        <f>C5</f>
        <v>0</v>
      </c>
      <c r="IU5" s="26"/>
    </row>
    <row r="6" spans="1:255" x14ac:dyDescent="0.2">
      <c r="A6" s="23" t="s">
        <v>392</v>
      </c>
      <c r="B6" s="22"/>
      <c r="C6" s="31"/>
      <c r="D6" s="32"/>
      <c r="E6" s="32"/>
      <c r="F6" s="32"/>
      <c r="G6" s="32"/>
      <c r="BR6" s="25">
        <f>C6</f>
        <v>0</v>
      </c>
      <c r="IU6" s="26"/>
    </row>
    <row r="7" spans="1:255" x14ac:dyDescent="0.2">
      <c r="A7" s="57"/>
      <c r="B7" s="57"/>
      <c r="C7" s="57"/>
      <c r="D7" s="57"/>
      <c r="E7" s="57"/>
      <c r="F7" s="57"/>
      <c r="G7" s="57"/>
    </row>
    <row r="8" spans="1:255" ht="18.75" x14ac:dyDescent="0.3">
      <c r="A8" s="58" t="s">
        <v>485</v>
      </c>
      <c r="B8" s="58"/>
      <c r="C8" s="58"/>
      <c r="D8" s="58"/>
      <c r="E8" s="58"/>
      <c r="F8" s="58"/>
      <c r="G8" s="58"/>
    </row>
    <row r="9" spans="1:255" x14ac:dyDescent="0.2">
      <c r="A9" s="68" t="s">
        <v>545</v>
      </c>
      <c r="B9" s="68"/>
      <c r="C9" s="68"/>
      <c r="D9" s="68"/>
      <c r="E9" s="68"/>
      <c r="F9" s="68"/>
      <c r="G9" s="68"/>
    </row>
    <row r="10" spans="1:255" x14ac:dyDescent="0.2">
      <c r="A10" s="68"/>
      <c r="B10" s="68"/>
      <c r="C10" s="68"/>
      <c r="D10" s="68"/>
      <c r="E10" s="68"/>
      <c r="F10" s="68"/>
      <c r="G10" s="68"/>
    </row>
    <row r="11" spans="1:255" ht="15.75" x14ac:dyDescent="0.25">
      <c r="A11" s="13" t="s">
        <v>394</v>
      </c>
      <c r="B11" s="179" t="s">
        <v>5</v>
      </c>
      <c r="C11" s="179"/>
      <c r="D11" s="179"/>
      <c r="E11" s="179"/>
      <c r="F11" s="179"/>
      <c r="G11" s="179"/>
      <c r="BS11" s="180" t="str">
        <f>B11</f>
        <v>Установка РУ-10 кВ ТП514 2 комплексов учета электроэнергиии</v>
      </c>
      <c r="IU11" s="26"/>
    </row>
    <row r="13" spans="1:255" x14ac:dyDescent="0.2">
      <c r="A13" s="13" t="s">
        <v>409</v>
      </c>
    </row>
    <row r="14" spans="1:255" x14ac:dyDescent="0.2">
      <c r="A14" s="13" t="s">
        <v>410</v>
      </c>
    </row>
    <row r="15" spans="1:255" x14ac:dyDescent="0.2">
      <c r="A15" s="181" t="s">
        <v>487</v>
      </c>
      <c r="B15" s="181" t="s">
        <v>489</v>
      </c>
      <c r="C15" s="181" t="s">
        <v>492</v>
      </c>
      <c r="D15" s="181" t="s">
        <v>494</v>
      </c>
      <c r="E15" s="181" t="s">
        <v>497</v>
      </c>
      <c r="F15" s="181" t="s">
        <v>499</v>
      </c>
      <c r="G15" s="181" t="s">
        <v>501</v>
      </c>
      <c r="H15" s="181" t="s">
        <v>503</v>
      </c>
      <c r="I15" s="182" t="s">
        <v>474</v>
      </c>
    </row>
    <row r="16" spans="1:255" x14ac:dyDescent="0.2">
      <c r="A16" s="183" t="s">
        <v>488</v>
      </c>
      <c r="B16" s="183" t="s">
        <v>490</v>
      </c>
      <c r="C16" s="183" t="s">
        <v>493</v>
      </c>
      <c r="D16" s="183" t="s">
        <v>495</v>
      </c>
      <c r="E16" s="183" t="s">
        <v>498</v>
      </c>
      <c r="F16" s="183" t="s">
        <v>500</v>
      </c>
      <c r="G16" s="183" t="s">
        <v>502</v>
      </c>
      <c r="H16" s="183" t="s">
        <v>504</v>
      </c>
      <c r="I16" s="184" t="s">
        <v>438</v>
      </c>
    </row>
    <row r="17" spans="1:255" x14ac:dyDescent="0.2">
      <c r="A17" s="183"/>
      <c r="B17" s="183" t="s">
        <v>491</v>
      </c>
      <c r="C17" s="183"/>
      <c r="D17" s="183" t="s">
        <v>496</v>
      </c>
      <c r="E17" s="183"/>
      <c r="F17" s="183"/>
      <c r="G17" s="183" t="s">
        <v>500</v>
      </c>
      <c r="H17" s="183" t="s">
        <v>505</v>
      </c>
      <c r="I17" s="184"/>
    </row>
    <row r="18" spans="1:255" x14ac:dyDescent="0.2">
      <c r="A18" s="185">
        <v>1</v>
      </c>
      <c r="B18" s="185">
        <v>2</v>
      </c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6">
        <v>9</v>
      </c>
    </row>
    <row r="20" spans="1:255" x14ac:dyDescent="0.2">
      <c r="C20" t="s">
        <v>546</v>
      </c>
    </row>
    <row r="22" spans="1:255" x14ac:dyDescent="0.2">
      <c r="A22" s="171" t="s">
        <v>481</v>
      </c>
      <c r="B22" s="171"/>
      <c r="C22" s="201"/>
      <c r="D22" s="172"/>
      <c r="E22" s="172"/>
      <c r="F22" s="173"/>
      <c r="G22" s="173"/>
      <c r="BY22" s="174">
        <f>C22</f>
        <v>0</v>
      </c>
      <c r="BZ22" s="174">
        <f>F22</f>
        <v>0</v>
      </c>
      <c r="IU22" s="26"/>
    </row>
    <row r="23" spans="1:255" s="203" customFormat="1" ht="11.25" x14ac:dyDescent="0.2">
      <c r="A23" s="202"/>
      <c r="B23" s="202"/>
      <c r="C23" s="204" t="s">
        <v>477</v>
      </c>
      <c r="D23" s="204"/>
      <c r="E23" s="204"/>
      <c r="F23" s="204" t="s">
        <v>478</v>
      </c>
      <c r="G23" s="204"/>
    </row>
    <row r="24" spans="1:255" x14ac:dyDescent="0.2">
      <c r="A24" s="21"/>
      <c r="B24" s="21"/>
      <c r="C24" s="21"/>
      <c r="D24" s="11" t="s">
        <v>479</v>
      </c>
      <c r="E24" s="21"/>
      <c r="F24" s="21"/>
      <c r="G24" s="21"/>
    </row>
    <row r="25" spans="1:255" x14ac:dyDescent="0.2">
      <c r="A25" s="171" t="s">
        <v>482</v>
      </c>
      <c r="B25" s="171"/>
      <c r="C25" s="201"/>
      <c r="D25" s="172"/>
      <c r="E25" s="172"/>
      <c r="F25" s="173"/>
      <c r="G25" s="173"/>
      <c r="BY25" s="174">
        <f>C25</f>
        <v>0</v>
      </c>
      <c r="BZ25" s="174">
        <f>F25</f>
        <v>0</v>
      </c>
      <c r="IU25" s="26"/>
    </row>
    <row r="26" spans="1:255" s="203" customFormat="1" ht="11.25" x14ac:dyDescent="0.2">
      <c r="A26" s="202"/>
      <c r="B26" s="202"/>
      <c r="C26" s="204" t="s">
        <v>477</v>
      </c>
      <c r="D26" s="204"/>
      <c r="E26" s="204"/>
      <c r="F26" s="204" t="s">
        <v>478</v>
      </c>
      <c r="G26" s="204"/>
    </row>
    <row r="27" spans="1:255" x14ac:dyDescent="0.2">
      <c r="A27" s="21"/>
      <c r="B27" s="21"/>
      <c r="C27" s="21"/>
      <c r="D27" s="11" t="s">
        <v>479</v>
      </c>
      <c r="E27" s="21"/>
      <c r="F27" s="21"/>
      <c r="G27" s="21"/>
    </row>
    <row r="29" spans="1:255" x14ac:dyDescent="0.2">
      <c r="A29" s="54"/>
      <c r="B29" s="54"/>
    </row>
  </sheetData>
  <mergeCells count="16">
    <mergeCell ref="F25:G25"/>
    <mergeCell ref="C26:E26"/>
    <mergeCell ref="F26:G26"/>
    <mergeCell ref="A8:G8"/>
    <mergeCell ref="A9:G9"/>
    <mergeCell ref="A10:G10"/>
    <mergeCell ref="B11:G11"/>
    <mergeCell ref="F22:G22"/>
    <mergeCell ref="C23:E23"/>
    <mergeCell ref="F23:G23"/>
    <mergeCell ref="A1:G1"/>
    <mergeCell ref="C3:G3"/>
    <mergeCell ref="C4:G4"/>
    <mergeCell ref="C5:G5"/>
    <mergeCell ref="C6:G6"/>
    <mergeCell ref="A7:G7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67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78" t="s">
        <v>381</v>
      </c>
      <c r="B1" s="178"/>
      <c r="C1" s="178"/>
      <c r="D1" s="178"/>
      <c r="E1" s="178"/>
      <c r="F1" s="178"/>
      <c r="G1" s="178"/>
    </row>
    <row r="3" spans="1:255" x14ac:dyDescent="0.2">
      <c r="A3" s="23" t="s">
        <v>388</v>
      </c>
      <c r="B3" s="22"/>
      <c r="C3" s="33"/>
      <c r="D3" s="34"/>
      <c r="E3" s="34"/>
      <c r="F3" s="34"/>
      <c r="G3" s="34"/>
      <c r="BR3" s="25">
        <f>C3</f>
        <v>0</v>
      </c>
      <c r="IU3" s="26"/>
    </row>
    <row r="4" spans="1:255" x14ac:dyDescent="0.2">
      <c r="A4" s="23" t="s">
        <v>390</v>
      </c>
      <c r="B4" s="22"/>
      <c r="C4" s="30"/>
      <c r="D4" s="29"/>
      <c r="E4" s="29"/>
      <c r="F4" s="29"/>
      <c r="G4" s="29"/>
      <c r="BR4" s="25">
        <f>C4</f>
        <v>0</v>
      </c>
      <c r="IU4" s="26"/>
    </row>
    <row r="5" spans="1:255" x14ac:dyDescent="0.2">
      <c r="A5" s="23" t="s">
        <v>391</v>
      </c>
      <c r="B5" s="22"/>
      <c r="C5" s="30"/>
      <c r="D5" s="29"/>
      <c r="E5" s="29"/>
      <c r="F5" s="29"/>
      <c r="G5" s="29"/>
      <c r="BR5" s="25">
        <f>C5</f>
        <v>0</v>
      </c>
      <c r="IU5" s="26"/>
    </row>
    <row r="6" spans="1:255" x14ac:dyDescent="0.2">
      <c r="A6" s="23" t="s">
        <v>392</v>
      </c>
      <c r="B6" s="22"/>
      <c r="C6" s="31"/>
      <c r="D6" s="32"/>
      <c r="E6" s="32"/>
      <c r="F6" s="32"/>
      <c r="G6" s="32"/>
      <c r="BR6" s="25">
        <f>C6</f>
        <v>0</v>
      </c>
      <c r="IU6" s="26"/>
    </row>
    <row r="7" spans="1:255" x14ac:dyDescent="0.2">
      <c r="A7" s="57"/>
      <c r="B7" s="57"/>
      <c r="C7" s="57"/>
      <c r="D7" s="57"/>
      <c r="E7" s="57"/>
      <c r="F7" s="57"/>
      <c r="G7" s="57"/>
    </row>
    <row r="8" spans="1:255" ht="18.75" x14ac:dyDescent="0.3">
      <c r="A8" s="58" t="s">
        <v>485</v>
      </c>
      <c r="B8" s="58"/>
      <c r="C8" s="58"/>
      <c r="D8" s="58"/>
      <c r="E8" s="58"/>
      <c r="F8" s="58"/>
      <c r="G8" s="58"/>
    </row>
    <row r="9" spans="1:255" x14ac:dyDescent="0.2">
      <c r="A9" s="68" t="s">
        <v>486</v>
      </c>
      <c r="B9" s="68"/>
      <c r="C9" s="68"/>
      <c r="D9" s="68"/>
      <c r="E9" s="68"/>
      <c r="F9" s="68"/>
      <c r="G9" s="68"/>
    </row>
    <row r="10" spans="1:255" x14ac:dyDescent="0.2">
      <c r="A10" s="68"/>
      <c r="B10" s="68"/>
      <c r="C10" s="68"/>
      <c r="D10" s="68"/>
      <c r="E10" s="68"/>
      <c r="F10" s="68"/>
      <c r="G10" s="68"/>
    </row>
    <row r="11" spans="1:255" ht="15.75" x14ac:dyDescent="0.25">
      <c r="A11" s="13" t="s">
        <v>394</v>
      </c>
      <c r="B11" s="179" t="s">
        <v>5</v>
      </c>
      <c r="C11" s="179"/>
      <c r="D11" s="179"/>
      <c r="E11" s="179"/>
      <c r="F11" s="179"/>
      <c r="G11" s="179"/>
      <c r="BS11" s="180" t="str">
        <f>B11</f>
        <v>Установка РУ-10 кВ ТП514 2 комплексов учета электроэнергиии</v>
      </c>
      <c r="IU11" s="26"/>
    </row>
    <row r="13" spans="1:255" x14ac:dyDescent="0.2">
      <c r="A13" s="13" t="s">
        <v>409</v>
      </c>
    </row>
    <row r="14" spans="1:255" x14ac:dyDescent="0.2">
      <c r="A14" s="13" t="s">
        <v>410</v>
      </c>
    </row>
    <row r="15" spans="1:255" x14ac:dyDescent="0.2">
      <c r="A15" s="181" t="s">
        <v>487</v>
      </c>
      <c r="B15" s="181" t="s">
        <v>489</v>
      </c>
      <c r="C15" s="181" t="s">
        <v>492</v>
      </c>
      <c r="D15" s="181" t="s">
        <v>494</v>
      </c>
      <c r="E15" s="181" t="s">
        <v>497</v>
      </c>
      <c r="F15" s="181" t="s">
        <v>499</v>
      </c>
      <c r="G15" s="181" t="s">
        <v>501</v>
      </c>
      <c r="H15" s="181" t="s">
        <v>503</v>
      </c>
      <c r="I15" s="182" t="s">
        <v>474</v>
      </c>
    </row>
    <row r="16" spans="1:255" x14ac:dyDescent="0.2">
      <c r="A16" s="183" t="s">
        <v>488</v>
      </c>
      <c r="B16" s="183" t="s">
        <v>490</v>
      </c>
      <c r="C16" s="183" t="s">
        <v>493</v>
      </c>
      <c r="D16" s="183" t="s">
        <v>495</v>
      </c>
      <c r="E16" s="183" t="s">
        <v>498</v>
      </c>
      <c r="F16" s="183" t="s">
        <v>500</v>
      </c>
      <c r="G16" s="183" t="s">
        <v>502</v>
      </c>
      <c r="H16" s="183" t="s">
        <v>504</v>
      </c>
      <c r="I16" s="184" t="s">
        <v>438</v>
      </c>
    </row>
    <row r="17" spans="1:255" x14ac:dyDescent="0.2">
      <c r="A17" s="183"/>
      <c r="B17" s="183" t="s">
        <v>491</v>
      </c>
      <c r="C17" s="183"/>
      <c r="D17" s="183" t="s">
        <v>496</v>
      </c>
      <c r="E17" s="183"/>
      <c r="F17" s="183"/>
      <c r="G17" s="183" t="s">
        <v>500</v>
      </c>
      <c r="H17" s="183" t="s">
        <v>505</v>
      </c>
      <c r="I17" s="184"/>
    </row>
    <row r="18" spans="1:255" x14ac:dyDescent="0.2">
      <c r="A18" s="181">
        <v>1</v>
      </c>
      <c r="B18" s="181">
        <v>2</v>
      </c>
      <c r="C18" s="181">
        <v>3</v>
      </c>
      <c r="D18" s="181">
        <v>4</v>
      </c>
      <c r="E18" s="181">
        <v>5</v>
      </c>
      <c r="F18" s="181">
        <v>6</v>
      </c>
      <c r="G18" s="181">
        <v>7</v>
      </c>
      <c r="H18" s="181">
        <v>8</v>
      </c>
      <c r="I18" s="182">
        <v>9</v>
      </c>
    </row>
    <row r="19" spans="1:255" x14ac:dyDescent="0.2">
      <c r="A19" s="194"/>
      <c r="B19" s="194" t="s">
        <v>506</v>
      </c>
      <c r="C19" s="194"/>
      <c r="D19" s="194"/>
      <c r="E19" s="194"/>
      <c r="F19" s="194"/>
      <c r="G19" s="191"/>
      <c r="H19" s="191"/>
      <c r="I19" s="191"/>
    </row>
    <row r="20" spans="1:255" s="74" customFormat="1" ht="24" x14ac:dyDescent="0.2">
      <c r="A20" s="195">
        <v>1</v>
      </c>
      <c r="B20" s="196" t="s">
        <v>317</v>
      </c>
      <c r="C20" s="196" t="s">
        <v>319</v>
      </c>
      <c r="D20" s="196" t="s">
        <v>320</v>
      </c>
      <c r="E20" s="197">
        <f>O20</f>
        <v>0.02</v>
      </c>
      <c r="F20" s="198">
        <f>ROUND( 30.74 * 12.5, 2 )</f>
        <v>384.25</v>
      </c>
      <c r="G20" s="198">
        <f>ROUND(E20*F20,2)</f>
        <v>7.69</v>
      </c>
      <c r="H20" s="199" t="s">
        <v>519</v>
      </c>
      <c r="I20" s="199" t="s">
        <v>508</v>
      </c>
      <c r="N20" s="187"/>
      <c r="O20" s="187">
        <f>SUM(P20:IV20)</f>
        <v>0.02</v>
      </c>
      <c r="P20" s="187">
        <f>SmtRes!CX71</f>
        <v>0.02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</row>
    <row r="21" spans="1:255" s="74" customFormat="1" ht="24" x14ac:dyDescent="0.2">
      <c r="A21" s="195">
        <v>2</v>
      </c>
      <c r="B21" s="196" t="s">
        <v>351</v>
      </c>
      <c r="C21" s="196" t="s">
        <v>353</v>
      </c>
      <c r="D21" s="196" t="s">
        <v>272</v>
      </c>
      <c r="E21" s="197">
        <f>O21</f>
        <v>0.56000000000000005</v>
      </c>
      <c r="F21" s="198">
        <f>ROUND( 28.22 * 12.5, 2 )</f>
        <v>352.75</v>
      </c>
      <c r="G21" s="198">
        <f>ROUND(E21*F21,2)</f>
        <v>197.54</v>
      </c>
      <c r="H21" s="199" t="s">
        <v>526</v>
      </c>
      <c r="I21" s="199" t="s">
        <v>508</v>
      </c>
      <c r="N21" s="187"/>
      <c r="O21" s="187">
        <f>SUM(P21:IV21)</f>
        <v>0.56000000000000005</v>
      </c>
      <c r="P21" s="187">
        <f>SmtRes!CX119</f>
        <v>0.56000000000000005</v>
      </c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</row>
    <row r="22" spans="1:255" s="74" customFormat="1" ht="24" x14ac:dyDescent="0.2">
      <c r="A22" s="195">
        <v>3</v>
      </c>
      <c r="B22" s="196" t="s">
        <v>269</v>
      </c>
      <c r="C22" s="196" t="s">
        <v>271</v>
      </c>
      <c r="D22" s="196" t="s">
        <v>272</v>
      </c>
      <c r="E22" s="197">
        <f>O22</f>
        <v>25.14</v>
      </c>
      <c r="F22" s="198">
        <f>ROUND( 9.04 * 12.5, 2 )</f>
        <v>113</v>
      </c>
      <c r="G22" s="198">
        <f>ROUND(E22*F22,2)</f>
        <v>2840.82</v>
      </c>
      <c r="H22" s="199" t="s">
        <v>507</v>
      </c>
      <c r="I22" s="199" t="s">
        <v>508</v>
      </c>
      <c r="N22" s="187"/>
      <c r="O22" s="187">
        <f>SUM(P22:IV22)</f>
        <v>25.14</v>
      </c>
      <c r="P22" s="187">
        <f>SmtRes!CX16</f>
        <v>2.34</v>
      </c>
      <c r="Q22" s="187">
        <f>SmtRes!CX43</f>
        <v>22.8</v>
      </c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  <c r="IT22" s="187"/>
      <c r="IU22" s="187"/>
    </row>
    <row r="23" spans="1:255" s="74" customFormat="1" ht="24" x14ac:dyDescent="0.2">
      <c r="A23" s="195">
        <v>4</v>
      </c>
      <c r="B23" s="196" t="s">
        <v>294</v>
      </c>
      <c r="C23" s="196" t="s">
        <v>296</v>
      </c>
      <c r="D23" s="196" t="s">
        <v>272</v>
      </c>
      <c r="E23" s="197">
        <f>O23</f>
        <v>8</v>
      </c>
      <c r="F23" s="198">
        <f>ROUND( 50 * 12.5, 2 )</f>
        <v>625</v>
      </c>
      <c r="G23" s="198">
        <f>ROUND(E23*F23,2)</f>
        <v>5000</v>
      </c>
      <c r="H23" s="199" t="s">
        <v>513</v>
      </c>
      <c r="I23" s="199" t="s">
        <v>508</v>
      </c>
      <c r="N23" s="187"/>
      <c r="O23" s="187">
        <f>SUM(P23:IV23)</f>
        <v>8</v>
      </c>
      <c r="P23" s="187">
        <f>SmtRes!CX44</f>
        <v>8</v>
      </c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</row>
    <row r="24" spans="1:255" s="74" customFormat="1" ht="24" x14ac:dyDescent="0.2">
      <c r="A24" s="195">
        <v>5</v>
      </c>
      <c r="B24" s="196" t="s">
        <v>297</v>
      </c>
      <c r="C24" s="196" t="s">
        <v>299</v>
      </c>
      <c r="D24" s="196" t="s">
        <v>300</v>
      </c>
      <c r="E24" s="197">
        <f>O24</f>
        <v>6.6000000000000003E-2</v>
      </c>
      <c r="F24" s="198">
        <f>ROUND( 79.1 * 12.5, 2 )</f>
        <v>988.75</v>
      </c>
      <c r="G24" s="198">
        <f>ROUND(E24*F24,2)</f>
        <v>65.260000000000005</v>
      </c>
      <c r="H24" s="199" t="s">
        <v>514</v>
      </c>
      <c r="I24" s="199" t="s">
        <v>508</v>
      </c>
      <c r="N24" s="187"/>
      <c r="O24" s="187">
        <f>SUM(P24:IV24)</f>
        <v>6.6000000000000003E-2</v>
      </c>
      <c r="P24" s="187">
        <f>SmtRes!CX45</f>
        <v>6.6000000000000003E-2</v>
      </c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</row>
    <row r="25" spans="1:255" s="74" customFormat="1" ht="24" x14ac:dyDescent="0.2">
      <c r="A25" s="195">
        <v>6</v>
      </c>
      <c r="B25" s="196" t="s">
        <v>309</v>
      </c>
      <c r="C25" s="196" t="s">
        <v>311</v>
      </c>
      <c r="D25" s="196" t="s">
        <v>290</v>
      </c>
      <c r="E25" s="197">
        <f>O25</f>
        <v>6.0000000000000002E-5</v>
      </c>
      <c r="F25" s="198">
        <f>ROUND( 12430 * 12.5, 2 )</f>
        <v>155375</v>
      </c>
      <c r="G25" s="198">
        <f>ROUND(E25*F25,2)</f>
        <v>9.32</v>
      </c>
      <c r="H25" s="199" t="s">
        <v>517</v>
      </c>
      <c r="I25" s="199" t="s">
        <v>508</v>
      </c>
      <c r="N25" s="187"/>
      <c r="O25" s="187">
        <f>SUM(P25:IV25)</f>
        <v>6.0000000000000002E-5</v>
      </c>
      <c r="P25" s="187">
        <f>SmtRes!CX63</f>
        <v>6.0000000000000002E-5</v>
      </c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</row>
    <row r="26" spans="1:255" s="74" customFormat="1" ht="24" x14ac:dyDescent="0.2">
      <c r="A26" s="195">
        <v>7</v>
      </c>
      <c r="B26" s="196" t="s">
        <v>277</v>
      </c>
      <c r="C26" s="196" t="s">
        <v>278</v>
      </c>
      <c r="D26" s="196" t="s">
        <v>279</v>
      </c>
      <c r="E26" s="197">
        <f>O26</f>
        <v>15.909676169999997</v>
      </c>
      <c r="F26" s="198">
        <f>ROUND( 1 * 12.5, 2 )</f>
        <v>12.5</v>
      </c>
      <c r="G26" s="198">
        <f>ROUND(E26*F26,2)</f>
        <v>198.87</v>
      </c>
      <c r="H26" s="199" t="s">
        <v>510</v>
      </c>
      <c r="I26" s="199" t="s">
        <v>508</v>
      </c>
      <c r="N26" s="187"/>
      <c r="O26" s="187">
        <f>SUM(P26:IV26)</f>
        <v>15.909676169999997</v>
      </c>
      <c r="P26" s="187">
        <f>SmtRes!CX18</f>
        <v>2.82</v>
      </c>
      <c r="Q26" s="187">
        <f>SmtRes!CX48</f>
        <v>7.46</v>
      </c>
      <c r="R26" s="187">
        <f>SmtRes!CX64</f>
        <v>0.28000000000000003</v>
      </c>
      <c r="S26" s="187">
        <f>SmtRes!CX72</f>
        <v>0.1648</v>
      </c>
      <c r="T26" s="187">
        <f>SmtRes!CX76</f>
        <v>1.3875000000000002</v>
      </c>
      <c r="U26" s="187">
        <f>SmtRes!CX92</f>
        <v>0.77737617000000003</v>
      </c>
      <c r="V26" s="187">
        <f>SmtRes!CX114</f>
        <v>1.42</v>
      </c>
      <c r="W26" s="187">
        <f>SmtRes!CX120</f>
        <v>1.6</v>
      </c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</row>
    <row r="27" spans="1:255" s="74" customFormat="1" ht="24" x14ac:dyDescent="0.2">
      <c r="A27" s="195">
        <v>8</v>
      </c>
      <c r="B27" s="196" t="s">
        <v>329</v>
      </c>
      <c r="C27" s="196" t="s">
        <v>331</v>
      </c>
      <c r="D27" s="196" t="s">
        <v>290</v>
      </c>
      <c r="E27" s="197">
        <f>O27</f>
        <v>3.3272910000000001E-4</v>
      </c>
      <c r="F27" s="198">
        <f>ROUND( 729.98 * 12.5, 2 )</f>
        <v>9124.75</v>
      </c>
      <c r="G27" s="198">
        <f>ROUND(E27*F27,2)</f>
        <v>3.04</v>
      </c>
      <c r="H27" s="199" t="s">
        <v>520</v>
      </c>
      <c r="I27" s="199" t="s">
        <v>508</v>
      </c>
      <c r="N27" s="187"/>
      <c r="O27" s="187">
        <f>SUM(P27:IV27)</f>
        <v>3.3272910000000001E-4</v>
      </c>
      <c r="P27" s="187">
        <f>SmtRes!CX89</f>
        <v>3.3272910000000001E-4</v>
      </c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</row>
    <row r="28" spans="1:255" s="74" customFormat="1" ht="24" x14ac:dyDescent="0.2">
      <c r="A28" s="195">
        <v>9</v>
      </c>
      <c r="B28" s="196" t="s">
        <v>345</v>
      </c>
      <c r="C28" s="196" t="s">
        <v>347</v>
      </c>
      <c r="D28" s="196" t="s">
        <v>320</v>
      </c>
      <c r="E28" s="197">
        <f>O28</f>
        <v>0.08</v>
      </c>
      <c r="F28" s="198">
        <f>ROUND( 86 * 12.5, 2 )</f>
        <v>1075</v>
      </c>
      <c r="G28" s="198">
        <f>ROUND(E28*F28,2)</f>
        <v>86</v>
      </c>
      <c r="H28" s="199" t="s">
        <v>524</v>
      </c>
      <c r="I28" s="199" t="s">
        <v>508</v>
      </c>
      <c r="N28" s="187"/>
      <c r="O28" s="187">
        <f>SUM(P28:IV28)</f>
        <v>0.08</v>
      </c>
      <c r="P28" s="187">
        <f>SmtRes!CX111</f>
        <v>0.08</v>
      </c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</row>
    <row r="29" spans="1:255" s="74" customFormat="1" ht="24" x14ac:dyDescent="0.2">
      <c r="A29" s="195">
        <v>10</v>
      </c>
      <c r="B29" s="196" t="s">
        <v>304</v>
      </c>
      <c r="C29" s="196" t="s">
        <v>306</v>
      </c>
      <c r="D29" s="196" t="s">
        <v>272</v>
      </c>
      <c r="E29" s="197">
        <f>O29</f>
        <v>0.70000000000000007</v>
      </c>
      <c r="F29" s="198">
        <f>ROUND( 28.6 * 12.5, 2 )</f>
        <v>357.5</v>
      </c>
      <c r="G29" s="198">
        <f>ROUND(E29*F29,2)</f>
        <v>250.25</v>
      </c>
      <c r="H29" s="199" t="s">
        <v>516</v>
      </c>
      <c r="I29" s="199" t="s">
        <v>508</v>
      </c>
      <c r="N29" s="187"/>
      <c r="O29" s="187">
        <f>SUM(P29:IV29)</f>
        <v>0.70000000000000007</v>
      </c>
      <c r="P29" s="187">
        <f>SmtRes!CX47</f>
        <v>0.66</v>
      </c>
      <c r="Q29" s="187">
        <f>SmtRes!CX112</f>
        <v>0.04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</row>
    <row r="30" spans="1:255" s="74" customFormat="1" ht="24" x14ac:dyDescent="0.2">
      <c r="A30" s="195">
        <v>11</v>
      </c>
      <c r="B30" s="196" t="s">
        <v>348</v>
      </c>
      <c r="C30" s="196" t="s">
        <v>350</v>
      </c>
      <c r="D30" s="196" t="s">
        <v>290</v>
      </c>
      <c r="E30" s="197">
        <f>O30</f>
        <v>1.16E-3</v>
      </c>
      <c r="F30" s="198">
        <f>ROUND( 7826.9 * 12.5, 2 )</f>
        <v>97836.25</v>
      </c>
      <c r="G30" s="198">
        <f>ROUND(E30*F30,2)</f>
        <v>113.49</v>
      </c>
      <c r="H30" s="199" t="s">
        <v>525</v>
      </c>
      <c r="I30" s="199" t="s">
        <v>508</v>
      </c>
      <c r="N30" s="187"/>
      <c r="O30" s="187">
        <f>SUM(P30:IV30)</f>
        <v>1.16E-3</v>
      </c>
      <c r="P30" s="187">
        <f>SmtRes!CX113</f>
        <v>1.16E-3</v>
      </c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</row>
    <row r="31" spans="1:255" s="74" customFormat="1" ht="36" x14ac:dyDescent="0.2">
      <c r="A31" s="195">
        <v>12</v>
      </c>
      <c r="B31" s="196" t="s">
        <v>342</v>
      </c>
      <c r="C31" s="196" t="s">
        <v>344</v>
      </c>
      <c r="D31" s="196" t="s">
        <v>272</v>
      </c>
      <c r="E31" s="197">
        <f>O31</f>
        <v>0.12</v>
      </c>
      <c r="F31" s="198">
        <f>ROUND( 30.4 * 12.5, 2 )</f>
        <v>380</v>
      </c>
      <c r="G31" s="198">
        <f>ROUND(E31*F31,2)</f>
        <v>45.6</v>
      </c>
      <c r="H31" s="199" t="s">
        <v>523</v>
      </c>
      <c r="I31" s="199" t="s">
        <v>508</v>
      </c>
      <c r="N31" s="187"/>
      <c r="O31" s="187">
        <f>SUM(P31:IV31)</f>
        <v>0.12</v>
      </c>
      <c r="P31" s="187">
        <f>SmtRes!CX110</f>
        <v>0.12</v>
      </c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7"/>
      <c r="GP31" s="187"/>
      <c r="GQ31" s="187"/>
      <c r="GR31" s="187"/>
      <c r="GS31" s="18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7"/>
      <c r="HD31" s="187"/>
      <c r="HE31" s="187"/>
      <c r="HF31" s="187"/>
      <c r="HG31" s="18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7"/>
      <c r="HR31" s="187"/>
      <c r="HS31" s="187"/>
      <c r="HT31" s="187"/>
      <c r="HU31" s="18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7"/>
      <c r="IT31" s="187"/>
      <c r="IU31" s="187"/>
    </row>
    <row r="32" spans="1:255" s="74" customFormat="1" ht="24" x14ac:dyDescent="0.2">
      <c r="A32" s="195">
        <v>13</v>
      </c>
      <c r="B32" s="196" t="s">
        <v>273</v>
      </c>
      <c r="C32" s="196" t="s">
        <v>275</v>
      </c>
      <c r="D32" s="196" t="s">
        <v>276</v>
      </c>
      <c r="E32" s="197">
        <f>O32</f>
        <v>0.60000000000000009</v>
      </c>
      <c r="F32" s="198">
        <f>ROUND( 39 * 12.5, 2 )</f>
        <v>487.5</v>
      </c>
      <c r="G32" s="198">
        <f>ROUND(E32*F32,2)</f>
        <v>292.5</v>
      </c>
      <c r="H32" s="199" t="s">
        <v>509</v>
      </c>
      <c r="I32" s="199" t="s">
        <v>508</v>
      </c>
      <c r="N32" s="187"/>
      <c r="O32" s="187">
        <f>SUM(P32:IV32)</f>
        <v>0.60000000000000009</v>
      </c>
      <c r="P32" s="187">
        <f>SmtRes!CX17</f>
        <v>0.60000000000000009</v>
      </c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  <c r="IT32" s="187"/>
      <c r="IU32" s="187"/>
    </row>
    <row r="33" spans="1:255" s="74" customFormat="1" ht="24" x14ac:dyDescent="0.2">
      <c r="A33" s="195">
        <v>14</v>
      </c>
      <c r="B33" s="196" t="s">
        <v>332</v>
      </c>
      <c r="C33" s="196" t="s">
        <v>334</v>
      </c>
      <c r="D33" s="196" t="s">
        <v>290</v>
      </c>
      <c r="E33" s="197">
        <f>O33</f>
        <v>3.6297720000000005E-5</v>
      </c>
      <c r="F33" s="198">
        <f>ROUND( 10200 * 12.5, 2 )</f>
        <v>127500</v>
      </c>
      <c r="G33" s="198">
        <f>ROUND(E33*F33,2)</f>
        <v>4.63</v>
      </c>
      <c r="H33" s="199" t="s">
        <v>521</v>
      </c>
      <c r="I33" s="199" t="s">
        <v>508</v>
      </c>
      <c r="N33" s="187"/>
      <c r="O33" s="187">
        <f>SUM(P33:IV33)</f>
        <v>3.6297720000000005E-5</v>
      </c>
      <c r="P33" s="187">
        <f>SmtRes!CX90</f>
        <v>3.6297720000000005E-5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  <c r="IA33" s="187"/>
      <c r="IB33" s="187"/>
      <c r="IC33" s="187"/>
      <c r="ID33" s="187"/>
      <c r="IE33" s="187"/>
      <c r="IF33" s="187"/>
      <c r="IG33" s="187"/>
      <c r="IH33" s="187"/>
      <c r="II33" s="187"/>
      <c r="IJ33" s="187"/>
      <c r="IK33" s="187"/>
      <c r="IL33" s="187"/>
      <c r="IM33" s="187"/>
      <c r="IN33" s="187"/>
      <c r="IO33" s="187"/>
      <c r="IP33" s="187"/>
      <c r="IQ33" s="187"/>
      <c r="IR33" s="187"/>
      <c r="IS33" s="187"/>
      <c r="IT33" s="187"/>
      <c r="IU33" s="187"/>
    </row>
    <row r="34" spans="1:255" s="74" customFormat="1" ht="24" x14ac:dyDescent="0.2">
      <c r="A34" s="195">
        <v>15</v>
      </c>
      <c r="B34" s="196" t="s">
        <v>314</v>
      </c>
      <c r="C34" s="196" t="s">
        <v>316</v>
      </c>
      <c r="D34" s="196" t="s">
        <v>272</v>
      </c>
      <c r="E34" s="197">
        <f>O34</f>
        <v>1.6E-2</v>
      </c>
      <c r="F34" s="198">
        <f>ROUND( 23.09 * 12.5, 2 )</f>
        <v>288.63</v>
      </c>
      <c r="G34" s="198">
        <f>ROUND(E34*F34,2)</f>
        <v>4.62</v>
      </c>
      <c r="H34" s="199" t="s">
        <v>518</v>
      </c>
      <c r="I34" s="199" t="s">
        <v>508</v>
      </c>
      <c r="N34" s="187"/>
      <c r="O34" s="187">
        <f>SUM(P34:IV34)</f>
        <v>1.6E-2</v>
      </c>
      <c r="P34" s="187">
        <f>SmtRes!CX70</f>
        <v>1.6E-2</v>
      </c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7"/>
      <c r="IT34" s="187"/>
      <c r="IU34" s="187"/>
    </row>
    <row r="35" spans="1:255" s="74" customFormat="1" ht="24" x14ac:dyDescent="0.2">
      <c r="A35" s="195">
        <v>16</v>
      </c>
      <c r="B35" s="196" t="s">
        <v>335</v>
      </c>
      <c r="C35" s="196" t="s">
        <v>337</v>
      </c>
      <c r="D35" s="196" t="s">
        <v>320</v>
      </c>
      <c r="E35" s="197">
        <f>O35</f>
        <v>0.31458024000000001</v>
      </c>
      <c r="F35" s="198">
        <f>ROUND( 155.74 * 12.5, 2 )</f>
        <v>1946.75</v>
      </c>
      <c r="G35" s="198">
        <f>ROUND(E35*F35,2)</f>
        <v>612.41</v>
      </c>
      <c r="H35" s="199" t="s">
        <v>522</v>
      </c>
      <c r="I35" s="199" t="s">
        <v>508</v>
      </c>
      <c r="N35" s="187"/>
      <c r="O35" s="187">
        <f>SUM(P35:IV35)</f>
        <v>0.31458024000000001</v>
      </c>
      <c r="P35" s="187">
        <f>SmtRes!CX91</f>
        <v>0.31458024000000001</v>
      </c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  <c r="IT35" s="187"/>
      <c r="IU35" s="187"/>
    </row>
    <row r="36" spans="1:255" s="74" customFormat="1" ht="24" x14ac:dyDescent="0.2">
      <c r="A36" s="195">
        <v>17</v>
      </c>
      <c r="B36" s="196" t="s">
        <v>287</v>
      </c>
      <c r="C36" s="196" t="s">
        <v>289</v>
      </c>
      <c r="D36" s="196" t="s">
        <v>290</v>
      </c>
      <c r="E36" s="197">
        <f>O36</f>
        <v>1.2E-4</v>
      </c>
      <c r="F36" s="198">
        <f>ROUND( 17500 * 12.5, 2 )</f>
        <v>218750</v>
      </c>
      <c r="G36" s="198">
        <f>ROUND(E36*F36,2)</f>
        <v>26.25</v>
      </c>
      <c r="H36" s="199" t="s">
        <v>511</v>
      </c>
      <c r="I36" s="199" t="s">
        <v>508</v>
      </c>
      <c r="N36" s="187"/>
      <c r="O36" s="187">
        <f>SUM(P36:IV36)</f>
        <v>1.2E-4</v>
      </c>
      <c r="P36" s="187">
        <f>SmtRes!CX41</f>
        <v>1.2E-4</v>
      </c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7"/>
      <c r="IT36" s="187"/>
      <c r="IU36" s="187"/>
    </row>
    <row r="37" spans="1:255" s="74" customFormat="1" ht="24" x14ac:dyDescent="0.2">
      <c r="A37" s="195">
        <v>18</v>
      </c>
      <c r="B37" s="196" t="s">
        <v>301</v>
      </c>
      <c r="C37" s="196" t="s">
        <v>303</v>
      </c>
      <c r="D37" s="196" t="s">
        <v>290</v>
      </c>
      <c r="E37" s="197">
        <f>O37</f>
        <v>0.02</v>
      </c>
      <c r="F37" s="198">
        <f>ROUND( 5000 * 12.5, 2 )</f>
        <v>62500</v>
      </c>
      <c r="G37" s="198">
        <f>ROUND(E37*F37,2)</f>
        <v>1250</v>
      </c>
      <c r="H37" s="199" t="s">
        <v>515</v>
      </c>
      <c r="I37" s="199" t="s">
        <v>508</v>
      </c>
      <c r="N37" s="187"/>
      <c r="O37" s="187">
        <f>SUM(P37:IV37)</f>
        <v>0.02</v>
      </c>
      <c r="P37" s="187">
        <f>SmtRes!CX46</f>
        <v>0.02</v>
      </c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7"/>
      <c r="GP37" s="187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87"/>
      <c r="IJ37" s="187"/>
      <c r="IK37" s="187"/>
      <c r="IL37" s="187"/>
      <c r="IM37" s="187"/>
      <c r="IN37" s="187"/>
      <c r="IO37" s="187"/>
      <c r="IP37" s="187"/>
      <c r="IQ37" s="187"/>
      <c r="IR37" s="187"/>
      <c r="IS37" s="187"/>
      <c r="IT37" s="187"/>
      <c r="IU37" s="187"/>
    </row>
    <row r="38" spans="1:255" s="74" customFormat="1" ht="24" x14ac:dyDescent="0.2">
      <c r="A38" s="195">
        <v>19</v>
      </c>
      <c r="B38" s="196" t="s">
        <v>326</v>
      </c>
      <c r="C38" s="196" t="s">
        <v>328</v>
      </c>
      <c r="D38" s="196" t="s">
        <v>290</v>
      </c>
      <c r="E38" s="197">
        <f>O38</f>
        <v>1.4014953E-4</v>
      </c>
      <c r="F38" s="198">
        <f>ROUND( 12430 * 12.5, 2 )</f>
        <v>155375</v>
      </c>
      <c r="G38" s="198">
        <f>ROUND(E38*F38,2)</f>
        <v>21.78</v>
      </c>
      <c r="H38" s="199" t="s">
        <v>517</v>
      </c>
      <c r="I38" s="199" t="s">
        <v>508</v>
      </c>
      <c r="N38" s="187"/>
      <c r="O38" s="187">
        <f>SUM(P38:IV38)</f>
        <v>1.4014953E-4</v>
      </c>
      <c r="P38" s="187">
        <f>SmtRes!CX88</f>
        <v>1.4014953E-4</v>
      </c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  <c r="ED38" s="187"/>
      <c r="EE38" s="187"/>
      <c r="EF38" s="187"/>
      <c r="EG38" s="187"/>
      <c r="EH38" s="187"/>
      <c r="EI38" s="187"/>
      <c r="EJ38" s="187"/>
      <c r="EK38" s="187"/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7"/>
      <c r="EZ38" s="187"/>
      <c r="FA38" s="187"/>
      <c r="FB38" s="187"/>
      <c r="FC38" s="187"/>
      <c r="FD38" s="187"/>
      <c r="FE38" s="187"/>
      <c r="FF38" s="187"/>
      <c r="FG38" s="187"/>
      <c r="FH38" s="187"/>
      <c r="FI38" s="187"/>
      <c r="FJ38" s="187"/>
      <c r="FK38" s="187"/>
      <c r="FL38" s="187"/>
      <c r="FM38" s="187"/>
      <c r="FN38" s="187"/>
      <c r="FO38" s="187"/>
      <c r="FP38" s="187"/>
      <c r="FQ38" s="18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7"/>
      <c r="GB38" s="187"/>
      <c r="GC38" s="187"/>
      <c r="GD38" s="187"/>
      <c r="GE38" s="187"/>
      <c r="GF38" s="187"/>
      <c r="GG38" s="187"/>
      <c r="GH38" s="187"/>
      <c r="GI38" s="187"/>
      <c r="GJ38" s="187"/>
      <c r="GK38" s="187"/>
      <c r="GL38" s="187"/>
      <c r="GM38" s="187"/>
      <c r="GN38" s="187"/>
      <c r="GO38" s="187"/>
      <c r="GP38" s="187"/>
      <c r="GQ38" s="187"/>
      <c r="GR38" s="187"/>
      <c r="GS38" s="187"/>
      <c r="GT38" s="187"/>
      <c r="GU38" s="187"/>
      <c r="GV38" s="187"/>
      <c r="GW38" s="187"/>
      <c r="GX38" s="187"/>
      <c r="GY38" s="187"/>
      <c r="GZ38" s="187"/>
      <c r="HA38" s="187"/>
      <c r="HB38" s="187"/>
      <c r="HC38" s="187"/>
      <c r="HD38" s="187"/>
      <c r="HE38" s="187"/>
      <c r="HF38" s="187"/>
      <c r="HG38" s="187"/>
      <c r="HH38" s="187"/>
      <c r="HI38" s="187"/>
      <c r="HJ38" s="187"/>
      <c r="HK38" s="187"/>
      <c r="HL38" s="187"/>
      <c r="HM38" s="187"/>
      <c r="HN38" s="187"/>
      <c r="HO38" s="187"/>
      <c r="HP38" s="187"/>
      <c r="HQ38" s="187"/>
      <c r="HR38" s="187"/>
      <c r="HS38" s="187"/>
      <c r="HT38" s="187"/>
      <c r="HU38" s="187"/>
      <c r="HV38" s="187"/>
      <c r="HW38" s="187"/>
      <c r="HX38" s="187"/>
      <c r="HY38" s="187"/>
      <c r="HZ38" s="187"/>
      <c r="IA38" s="187"/>
      <c r="IB38" s="187"/>
      <c r="IC38" s="187"/>
      <c r="ID38" s="187"/>
      <c r="IE38" s="187"/>
      <c r="IF38" s="187"/>
      <c r="IG38" s="187"/>
      <c r="IH38" s="187"/>
      <c r="II38" s="187"/>
      <c r="IJ38" s="187"/>
      <c r="IK38" s="187"/>
      <c r="IL38" s="187"/>
      <c r="IM38" s="187"/>
      <c r="IN38" s="187"/>
      <c r="IO38" s="187"/>
      <c r="IP38" s="187"/>
      <c r="IQ38" s="187"/>
      <c r="IR38" s="187"/>
      <c r="IS38" s="187"/>
      <c r="IT38" s="187"/>
      <c r="IU38" s="187"/>
    </row>
    <row r="39" spans="1:255" s="74" customFormat="1" ht="24" x14ac:dyDescent="0.2">
      <c r="A39" s="195">
        <v>20</v>
      </c>
      <c r="B39" s="196" t="s">
        <v>291</v>
      </c>
      <c r="C39" s="196" t="s">
        <v>293</v>
      </c>
      <c r="D39" s="196" t="s">
        <v>272</v>
      </c>
      <c r="E39" s="197">
        <f>O39</f>
        <v>0.6</v>
      </c>
      <c r="F39" s="198">
        <f>ROUND( 10.57 * 12.5, 2 )</f>
        <v>132.13</v>
      </c>
      <c r="G39" s="198">
        <f>ROUND(E39*F39,2)</f>
        <v>79.28</v>
      </c>
      <c r="H39" s="199" t="s">
        <v>512</v>
      </c>
      <c r="I39" s="199" t="s">
        <v>508</v>
      </c>
      <c r="N39" s="187"/>
      <c r="O39" s="187">
        <f>SUM(P39:IV39)</f>
        <v>0.6</v>
      </c>
      <c r="P39" s="187">
        <f>SmtRes!CX42</f>
        <v>0.6</v>
      </c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7"/>
      <c r="FL39" s="187"/>
      <c r="FM39" s="187"/>
      <c r="FN39" s="187"/>
      <c r="FO39" s="187"/>
      <c r="FP39" s="187"/>
      <c r="FQ39" s="187"/>
      <c r="FR39" s="187"/>
      <c r="FS39" s="187"/>
      <c r="FT39" s="187"/>
      <c r="FU39" s="187"/>
      <c r="FV39" s="187"/>
      <c r="FW39" s="187"/>
      <c r="FX39" s="187"/>
      <c r="FY39" s="187"/>
      <c r="FZ39" s="187"/>
      <c r="GA39" s="187"/>
      <c r="GB39" s="187"/>
      <c r="GC39" s="187"/>
      <c r="GD39" s="187"/>
      <c r="GE39" s="187"/>
      <c r="GF39" s="187"/>
      <c r="GG39" s="187"/>
      <c r="GH39" s="187"/>
      <c r="GI39" s="187"/>
      <c r="GJ39" s="187"/>
      <c r="GK39" s="187"/>
      <c r="GL39" s="187"/>
      <c r="GM39" s="187"/>
      <c r="GN39" s="187"/>
      <c r="GO39" s="187"/>
      <c r="GP39" s="187"/>
      <c r="GQ39" s="187"/>
      <c r="GR39" s="187"/>
      <c r="GS39" s="187"/>
      <c r="GT39" s="187"/>
      <c r="GU39" s="187"/>
      <c r="GV39" s="187"/>
      <c r="GW39" s="187"/>
      <c r="GX39" s="187"/>
      <c r="GY39" s="187"/>
      <c r="GZ39" s="187"/>
      <c r="HA39" s="187"/>
      <c r="HB39" s="187"/>
      <c r="HC39" s="187"/>
      <c r="HD39" s="187"/>
      <c r="HE39" s="187"/>
      <c r="HF39" s="187"/>
      <c r="HG39" s="18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7"/>
      <c r="HR39" s="187"/>
      <c r="HS39" s="187"/>
      <c r="HT39" s="187"/>
      <c r="HU39" s="18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7"/>
      <c r="IF39" s="187"/>
      <c r="IG39" s="187"/>
      <c r="IH39" s="187"/>
      <c r="II39" s="187"/>
      <c r="IJ39" s="187"/>
      <c r="IK39" s="187"/>
      <c r="IL39" s="187"/>
      <c r="IM39" s="187"/>
      <c r="IN39" s="187"/>
      <c r="IO39" s="187"/>
      <c r="IP39" s="187"/>
      <c r="IQ39" s="187"/>
      <c r="IR39" s="187"/>
      <c r="IS39" s="187"/>
      <c r="IT39" s="187"/>
      <c r="IU39" s="187"/>
    </row>
    <row r="40" spans="1:255" x14ac:dyDescent="0.2">
      <c r="A40" s="191"/>
      <c r="B40" s="191"/>
      <c r="C40" s="192" t="s">
        <v>527</v>
      </c>
      <c r="D40" s="191"/>
      <c r="E40" s="191"/>
      <c r="F40" s="191"/>
      <c r="G40" s="193">
        <f>ROUND(SUM(G20:G39),2)</f>
        <v>11109.35</v>
      </c>
      <c r="H40" s="191"/>
      <c r="I40" s="191"/>
      <c r="J40" s="26"/>
      <c r="K40" s="26"/>
      <c r="L40" s="26"/>
      <c r="M40" s="190">
        <f>G40</f>
        <v>11109.35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x14ac:dyDescent="0.2">
      <c r="A41" s="194"/>
      <c r="B41" s="194" t="s">
        <v>528</v>
      </c>
      <c r="C41" s="194"/>
      <c r="D41" s="194"/>
      <c r="E41" s="194"/>
      <c r="F41" s="194"/>
      <c r="G41" s="191"/>
      <c r="H41" s="191"/>
      <c r="I41" s="191"/>
    </row>
    <row r="42" spans="1:255" s="74" customFormat="1" ht="24" x14ac:dyDescent="0.2">
      <c r="A42" s="195">
        <v>21</v>
      </c>
      <c r="B42" s="196" t="s">
        <v>89</v>
      </c>
      <c r="C42" s="196" t="s">
        <v>123</v>
      </c>
      <c r="D42" s="196" t="s">
        <v>24</v>
      </c>
      <c r="E42" s="197">
        <f>O42</f>
        <v>2</v>
      </c>
      <c r="F42" s="198">
        <f>ROUND( 27.34 * 12.5, 2 )</f>
        <v>341.75</v>
      </c>
      <c r="G42" s="198">
        <f>ROUND(E42*F42,2)</f>
        <v>683.5</v>
      </c>
      <c r="H42" s="199" t="s">
        <v>539</v>
      </c>
      <c r="I42" s="199" t="s">
        <v>508</v>
      </c>
      <c r="N42" s="187"/>
      <c r="O42" s="187">
        <f>SUM(P42:IV42)</f>
        <v>2</v>
      </c>
      <c r="P42" s="187">
        <f>Source!I73</f>
        <v>2</v>
      </c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187"/>
      <c r="GP42" s="187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187"/>
      <c r="IS42" s="187"/>
      <c r="IT42" s="187"/>
      <c r="IU42" s="187"/>
    </row>
    <row r="43" spans="1:255" s="74" customFormat="1" ht="12" x14ac:dyDescent="0.2">
      <c r="A43" s="195">
        <v>22</v>
      </c>
      <c r="B43" s="196" t="s">
        <v>89</v>
      </c>
      <c r="C43" s="196" t="s">
        <v>102</v>
      </c>
      <c r="D43" s="196" t="s">
        <v>24</v>
      </c>
      <c r="E43" s="197">
        <f>O43</f>
        <v>2</v>
      </c>
      <c r="F43" s="198">
        <f>ROUND( 4.29, 2 )</f>
        <v>4.29</v>
      </c>
      <c r="G43" s="198">
        <f>ROUND(E43*F43,2)</f>
        <v>8.58</v>
      </c>
      <c r="H43" s="200" t="s">
        <v>532</v>
      </c>
      <c r="I43" s="200" t="s">
        <v>508</v>
      </c>
      <c r="N43" s="187"/>
      <c r="O43" s="187">
        <f>SUM(P43:IV43)</f>
        <v>2</v>
      </c>
      <c r="P43" s="187">
        <f>Source!I59</f>
        <v>2</v>
      </c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187"/>
      <c r="GH43" s="187"/>
      <c r="GI43" s="187"/>
      <c r="GJ43" s="187"/>
      <c r="GK43" s="187"/>
      <c r="GL43" s="187"/>
      <c r="GM43" s="187"/>
      <c r="GN43" s="187"/>
      <c r="GO43" s="187"/>
      <c r="GP43" s="187"/>
      <c r="GQ43" s="187"/>
      <c r="GR43" s="187"/>
      <c r="GS43" s="187"/>
      <c r="GT43" s="187"/>
      <c r="GU43" s="187"/>
      <c r="GV43" s="187"/>
      <c r="GW43" s="187"/>
      <c r="GX43" s="187"/>
      <c r="GY43" s="187"/>
      <c r="GZ43" s="187"/>
      <c r="HA43" s="187"/>
      <c r="HB43" s="187"/>
      <c r="HC43" s="187"/>
      <c r="HD43" s="187"/>
      <c r="HE43" s="187"/>
      <c r="HF43" s="187"/>
      <c r="HG43" s="187"/>
      <c r="HH43" s="187"/>
      <c r="HI43" s="187"/>
      <c r="HJ43" s="187"/>
      <c r="HK43" s="187"/>
      <c r="HL43" s="187"/>
      <c r="HM43" s="187"/>
      <c r="HN43" s="187"/>
      <c r="HO43" s="187"/>
      <c r="HP43" s="187"/>
      <c r="HQ43" s="187"/>
      <c r="HR43" s="187"/>
      <c r="HS43" s="187"/>
      <c r="HT43" s="187"/>
      <c r="HU43" s="187"/>
      <c r="HV43" s="187"/>
      <c r="HW43" s="187"/>
      <c r="HX43" s="187"/>
      <c r="HY43" s="187"/>
      <c r="HZ43" s="187"/>
      <c r="IA43" s="187"/>
      <c r="IB43" s="187"/>
      <c r="IC43" s="187"/>
      <c r="ID43" s="187"/>
      <c r="IE43" s="187"/>
      <c r="IF43" s="187"/>
      <c r="IG43" s="187"/>
      <c r="IH43" s="187"/>
      <c r="II43" s="187"/>
      <c r="IJ43" s="187"/>
      <c r="IK43" s="187"/>
      <c r="IL43" s="187"/>
      <c r="IM43" s="187"/>
      <c r="IN43" s="187"/>
      <c r="IO43" s="187"/>
      <c r="IP43" s="187"/>
      <c r="IQ43" s="187"/>
      <c r="IR43" s="187"/>
      <c r="IS43" s="187"/>
      <c r="IT43" s="187"/>
      <c r="IU43" s="187"/>
    </row>
    <row r="44" spans="1:255" s="74" customFormat="1" ht="24" x14ac:dyDescent="0.2">
      <c r="A44" s="195">
        <v>23</v>
      </c>
      <c r="B44" s="196" t="s">
        <v>89</v>
      </c>
      <c r="C44" s="196" t="s">
        <v>117</v>
      </c>
      <c r="D44" s="196" t="s">
        <v>24</v>
      </c>
      <c r="E44" s="197">
        <f>O44</f>
        <v>2</v>
      </c>
      <c r="F44" s="198">
        <f>ROUND( 81.27 * 12.5, 2 )</f>
        <v>1015.88</v>
      </c>
      <c r="G44" s="198">
        <f>ROUND(E44*F44,2)</f>
        <v>2031.76</v>
      </c>
      <c r="H44" s="200" t="s">
        <v>537</v>
      </c>
      <c r="I44" s="200" t="s">
        <v>508</v>
      </c>
      <c r="N44" s="187"/>
      <c r="O44" s="187">
        <f>SUM(P44:IV44)</f>
        <v>2</v>
      </c>
      <c r="P44" s="187">
        <f>Source!I69</f>
        <v>2</v>
      </c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7"/>
      <c r="FK44" s="187"/>
      <c r="FL44" s="187"/>
      <c r="FM44" s="187"/>
      <c r="FN44" s="187"/>
      <c r="FO44" s="187"/>
      <c r="FP44" s="187"/>
      <c r="FQ44" s="187"/>
      <c r="FR44" s="187"/>
      <c r="FS44" s="187"/>
      <c r="FT44" s="187"/>
      <c r="FU44" s="187"/>
      <c r="FV44" s="187"/>
      <c r="FW44" s="187"/>
      <c r="FX44" s="187"/>
      <c r="FY44" s="187"/>
      <c r="FZ44" s="187"/>
      <c r="GA44" s="187"/>
      <c r="GB44" s="187"/>
      <c r="GC44" s="187"/>
      <c r="GD44" s="187"/>
      <c r="GE44" s="187"/>
      <c r="GF44" s="187"/>
      <c r="GG44" s="187"/>
      <c r="GH44" s="187"/>
      <c r="GI44" s="187"/>
      <c r="GJ44" s="187"/>
      <c r="GK44" s="187"/>
      <c r="GL44" s="187"/>
      <c r="GM44" s="187"/>
      <c r="GN44" s="187"/>
      <c r="GO44" s="187"/>
      <c r="GP44" s="187"/>
      <c r="GQ44" s="187"/>
      <c r="GR44" s="187"/>
      <c r="GS44" s="187"/>
      <c r="GT44" s="187"/>
      <c r="GU44" s="187"/>
      <c r="GV44" s="187"/>
      <c r="GW44" s="187"/>
      <c r="GX44" s="187"/>
      <c r="GY44" s="187"/>
      <c r="GZ44" s="187"/>
      <c r="HA44" s="187"/>
      <c r="HB44" s="187"/>
      <c r="HC44" s="187"/>
      <c r="HD44" s="187"/>
      <c r="HE44" s="187"/>
      <c r="HF44" s="187"/>
      <c r="HG44" s="187"/>
      <c r="HH44" s="187"/>
      <c r="HI44" s="187"/>
      <c r="HJ44" s="187"/>
      <c r="HK44" s="187"/>
      <c r="HL44" s="187"/>
      <c r="HM44" s="187"/>
      <c r="HN44" s="187"/>
      <c r="HO44" s="187"/>
      <c r="HP44" s="187"/>
      <c r="HQ44" s="187"/>
      <c r="HR44" s="187"/>
      <c r="HS44" s="187"/>
      <c r="HT44" s="187"/>
      <c r="HU44" s="187"/>
      <c r="HV44" s="187"/>
      <c r="HW44" s="187"/>
      <c r="HX44" s="187"/>
      <c r="HY44" s="187"/>
      <c r="HZ44" s="187"/>
      <c r="IA44" s="187"/>
      <c r="IB44" s="187"/>
      <c r="IC44" s="187"/>
      <c r="ID44" s="187"/>
      <c r="IE44" s="187"/>
      <c r="IF44" s="187"/>
      <c r="IG44" s="187"/>
      <c r="IH44" s="187"/>
      <c r="II44" s="187"/>
      <c r="IJ44" s="187"/>
      <c r="IK44" s="187"/>
      <c r="IL44" s="187"/>
      <c r="IM44" s="187"/>
      <c r="IN44" s="187"/>
      <c r="IO44" s="187"/>
      <c r="IP44" s="187"/>
      <c r="IQ44" s="187"/>
      <c r="IR44" s="187"/>
      <c r="IS44" s="187"/>
      <c r="IT44" s="187"/>
      <c r="IU44" s="187"/>
    </row>
    <row r="45" spans="1:255" s="74" customFormat="1" ht="24" x14ac:dyDescent="0.2">
      <c r="A45" s="195">
        <v>24</v>
      </c>
      <c r="B45" s="196" t="s">
        <v>89</v>
      </c>
      <c r="C45" s="196" t="s">
        <v>120</v>
      </c>
      <c r="D45" s="196" t="s">
        <v>24</v>
      </c>
      <c r="E45" s="197">
        <f>O45</f>
        <v>2</v>
      </c>
      <c r="F45" s="198">
        <f>ROUND( 209.22 * 12.5, 2 )</f>
        <v>2615.25</v>
      </c>
      <c r="G45" s="198">
        <f>ROUND(E45*F45,2)</f>
        <v>5230.5</v>
      </c>
      <c r="H45" s="199" t="s">
        <v>538</v>
      </c>
      <c r="I45" s="199" t="s">
        <v>508</v>
      </c>
      <c r="N45" s="187"/>
      <c r="O45" s="187">
        <f>SUM(P45:IV45)</f>
        <v>2</v>
      </c>
      <c r="P45" s="187">
        <f>Source!I71</f>
        <v>2</v>
      </c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  <c r="FU45" s="187"/>
      <c r="FV45" s="187"/>
      <c r="FW45" s="187"/>
      <c r="FX45" s="187"/>
      <c r="FY45" s="187"/>
      <c r="FZ45" s="187"/>
      <c r="GA45" s="187"/>
      <c r="GB45" s="187"/>
      <c r="GC45" s="187"/>
      <c r="GD45" s="187"/>
      <c r="GE45" s="187"/>
      <c r="GF45" s="187"/>
      <c r="GG45" s="187"/>
      <c r="GH45" s="187"/>
      <c r="GI45" s="187"/>
      <c r="GJ45" s="187"/>
      <c r="GK45" s="187"/>
      <c r="GL45" s="187"/>
      <c r="GM45" s="187"/>
      <c r="GN45" s="187"/>
      <c r="GO45" s="187"/>
      <c r="GP45" s="187"/>
      <c r="GQ45" s="187"/>
      <c r="GR45" s="187"/>
      <c r="GS45" s="187"/>
      <c r="GT45" s="187"/>
      <c r="GU45" s="187"/>
      <c r="GV45" s="187"/>
      <c r="GW45" s="187"/>
      <c r="GX45" s="187"/>
      <c r="GY45" s="187"/>
      <c r="GZ45" s="187"/>
      <c r="HA45" s="187"/>
      <c r="HB45" s="187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  <c r="HP45" s="187"/>
      <c r="HQ45" s="187"/>
      <c r="HR45" s="187"/>
      <c r="HS45" s="187"/>
      <c r="HT45" s="187"/>
      <c r="HU45" s="187"/>
      <c r="HV45" s="187"/>
      <c r="HW45" s="187"/>
      <c r="HX45" s="187"/>
      <c r="HY45" s="187"/>
      <c r="HZ45" s="187"/>
      <c r="IA45" s="187"/>
      <c r="IB45" s="187"/>
      <c r="IC45" s="187"/>
      <c r="ID45" s="187"/>
      <c r="IE45" s="187"/>
      <c r="IF45" s="187"/>
      <c r="IG45" s="187"/>
      <c r="IH45" s="187"/>
      <c r="II45" s="187"/>
      <c r="IJ45" s="187"/>
      <c r="IK45" s="187"/>
      <c r="IL45" s="187"/>
      <c r="IM45" s="187"/>
      <c r="IN45" s="187"/>
      <c r="IO45" s="187"/>
      <c r="IP45" s="187"/>
      <c r="IQ45" s="187"/>
      <c r="IR45" s="187"/>
      <c r="IS45" s="187"/>
      <c r="IT45" s="187"/>
      <c r="IU45" s="187"/>
    </row>
    <row r="46" spans="1:255" s="74" customFormat="1" ht="24" x14ac:dyDescent="0.2">
      <c r="A46" s="195">
        <v>25</v>
      </c>
      <c r="B46" s="196" t="s">
        <v>89</v>
      </c>
      <c r="C46" s="196" t="s">
        <v>132</v>
      </c>
      <c r="D46" s="196" t="s">
        <v>24</v>
      </c>
      <c r="E46" s="197">
        <f>O46</f>
        <v>2</v>
      </c>
      <c r="F46" s="198">
        <f>ROUND( 8452.94 * 12.5, 2 )</f>
        <v>105661.75</v>
      </c>
      <c r="G46" s="198">
        <f>ROUND(E46*F46,2)</f>
        <v>211323.5</v>
      </c>
      <c r="H46" s="199" t="s">
        <v>542</v>
      </c>
      <c r="I46" s="199" t="s">
        <v>508</v>
      </c>
      <c r="N46" s="187"/>
      <c r="O46" s="187">
        <f>SUM(P46:IV46)</f>
        <v>2</v>
      </c>
      <c r="P46" s="187">
        <f>Source!I79</f>
        <v>2</v>
      </c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  <c r="IA46" s="187"/>
      <c r="IB46" s="187"/>
      <c r="IC46" s="187"/>
      <c r="ID46" s="187"/>
      <c r="IE46" s="187"/>
      <c r="IF46" s="187"/>
      <c r="IG46" s="187"/>
      <c r="IH46" s="187"/>
      <c r="II46" s="187"/>
      <c r="IJ46" s="187"/>
      <c r="IK46" s="187"/>
      <c r="IL46" s="187"/>
      <c r="IM46" s="187"/>
      <c r="IN46" s="187"/>
      <c r="IO46" s="187"/>
      <c r="IP46" s="187"/>
      <c r="IQ46" s="187"/>
      <c r="IR46" s="187"/>
      <c r="IS46" s="187"/>
      <c r="IT46" s="187"/>
      <c r="IU46" s="187"/>
    </row>
    <row r="47" spans="1:255" s="74" customFormat="1" ht="24" x14ac:dyDescent="0.2">
      <c r="A47" s="195">
        <v>26</v>
      </c>
      <c r="B47" s="196" t="s">
        <v>89</v>
      </c>
      <c r="C47" s="196" t="s">
        <v>111</v>
      </c>
      <c r="D47" s="196" t="s">
        <v>24</v>
      </c>
      <c r="E47" s="197">
        <f>O47</f>
        <v>2</v>
      </c>
      <c r="F47" s="198">
        <f>ROUND( 239.58 * 12.5, 2 )</f>
        <v>2994.75</v>
      </c>
      <c r="G47" s="198">
        <f>ROUND(E47*F47,2)</f>
        <v>5989.5</v>
      </c>
      <c r="H47" s="200" t="s">
        <v>535</v>
      </c>
      <c r="I47" s="200" t="s">
        <v>508</v>
      </c>
      <c r="N47" s="187"/>
      <c r="O47" s="187">
        <f>SUM(P47:IV47)</f>
        <v>2</v>
      </c>
      <c r="P47" s="187">
        <f>Source!I65</f>
        <v>2</v>
      </c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7"/>
      <c r="FC47" s="187"/>
      <c r="FD47" s="187"/>
      <c r="FE47" s="187"/>
      <c r="FF47" s="187"/>
      <c r="FG47" s="187"/>
      <c r="FH47" s="187"/>
      <c r="FI47" s="187"/>
      <c r="FJ47" s="187"/>
      <c r="FK47" s="187"/>
      <c r="FL47" s="187"/>
      <c r="FM47" s="187"/>
      <c r="FN47" s="187"/>
      <c r="FO47" s="187"/>
      <c r="FP47" s="187"/>
      <c r="FQ47" s="187"/>
      <c r="FR47" s="187"/>
      <c r="FS47" s="187"/>
      <c r="FT47" s="187"/>
      <c r="FU47" s="187"/>
      <c r="FV47" s="187"/>
      <c r="FW47" s="187"/>
      <c r="FX47" s="187"/>
      <c r="FY47" s="187"/>
      <c r="FZ47" s="187"/>
      <c r="GA47" s="187"/>
      <c r="GB47" s="187"/>
      <c r="GC47" s="187"/>
      <c r="GD47" s="187"/>
      <c r="GE47" s="187"/>
      <c r="GF47" s="187"/>
      <c r="GG47" s="187"/>
      <c r="GH47" s="187"/>
      <c r="GI47" s="187"/>
      <c r="GJ47" s="187"/>
      <c r="GK47" s="187"/>
      <c r="GL47" s="187"/>
      <c r="GM47" s="187"/>
      <c r="GN47" s="187"/>
      <c r="GO47" s="187"/>
      <c r="GP47" s="187"/>
      <c r="GQ47" s="187"/>
      <c r="GR47" s="187"/>
      <c r="GS47" s="187"/>
      <c r="GT47" s="187"/>
      <c r="GU47" s="187"/>
      <c r="GV47" s="187"/>
      <c r="GW47" s="187"/>
      <c r="GX47" s="187"/>
      <c r="GY47" s="187"/>
      <c r="GZ47" s="187"/>
      <c r="HA47" s="187"/>
      <c r="HB47" s="187"/>
      <c r="HC47" s="187"/>
      <c r="HD47" s="187"/>
      <c r="HE47" s="187"/>
      <c r="HF47" s="187"/>
      <c r="HG47" s="187"/>
      <c r="HH47" s="187"/>
      <c r="HI47" s="187"/>
      <c r="HJ47" s="187"/>
      <c r="HK47" s="187"/>
      <c r="HL47" s="187"/>
      <c r="HM47" s="187"/>
      <c r="HN47" s="187"/>
      <c r="HO47" s="187"/>
      <c r="HP47" s="187"/>
      <c r="HQ47" s="187"/>
      <c r="HR47" s="187"/>
      <c r="HS47" s="187"/>
      <c r="HT47" s="187"/>
      <c r="HU47" s="187"/>
      <c r="HV47" s="187"/>
      <c r="HW47" s="187"/>
      <c r="HX47" s="187"/>
      <c r="HY47" s="187"/>
      <c r="HZ47" s="187"/>
      <c r="IA47" s="187"/>
      <c r="IB47" s="187"/>
      <c r="IC47" s="187"/>
      <c r="ID47" s="187"/>
      <c r="IE47" s="187"/>
      <c r="IF47" s="187"/>
      <c r="IG47" s="187"/>
      <c r="IH47" s="187"/>
      <c r="II47" s="187"/>
      <c r="IJ47" s="187"/>
      <c r="IK47" s="187"/>
      <c r="IL47" s="187"/>
      <c r="IM47" s="187"/>
      <c r="IN47" s="187"/>
      <c r="IO47" s="187"/>
      <c r="IP47" s="187"/>
      <c r="IQ47" s="187"/>
      <c r="IR47" s="187"/>
      <c r="IS47" s="187"/>
      <c r="IT47" s="187"/>
      <c r="IU47" s="187"/>
    </row>
    <row r="48" spans="1:255" s="74" customFormat="1" ht="24" x14ac:dyDescent="0.2">
      <c r="A48" s="195">
        <v>27</v>
      </c>
      <c r="B48" s="196" t="s">
        <v>89</v>
      </c>
      <c r="C48" s="196" t="s">
        <v>114</v>
      </c>
      <c r="D48" s="196" t="s">
        <v>24</v>
      </c>
      <c r="E48" s="197">
        <f>O48</f>
        <v>2</v>
      </c>
      <c r="F48" s="198">
        <f>ROUND( 247.9 * 12.5, 2 )</f>
        <v>3098.75</v>
      </c>
      <c r="G48" s="198">
        <f>ROUND(E48*F48,2)</f>
        <v>6197.5</v>
      </c>
      <c r="H48" s="199" t="s">
        <v>536</v>
      </c>
      <c r="I48" s="199" t="s">
        <v>508</v>
      </c>
      <c r="N48" s="187"/>
      <c r="O48" s="187">
        <f>SUM(P48:IV48)</f>
        <v>2</v>
      </c>
      <c r="P48" s="187">
        <f>Source!I67</f>
        <v>2</v>
      </c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7"/>
      <c r="EX48" s="187"/>
      <c r="EY48" s="187"/>
      <c r="EZ48" s="187"/>
      <c r="FA48" s="187"/>
      <c r="FB48" s="187"/>
      <c r="FC48" s="187"/>
      <c r="FD48" s="187"/>
      <c r="FE48" s="187"/>
      <c r="FF48" s="187"/>
      <c r="FG48" s="187"/>
      <c r="FH48" s="187"/>
      <c r="FI48" s="187"/>
      <c r="FJ48" s="187"/>
      <c r="FK48" s="187"/>
      <c r="FL48" s="187"/>
      <c r="FM48" s="187"/>
      <c r="FN48" s="187"/>
      <c r="FO48" s="187"/>
      <c r="FP48" s="187"/>
      <c r="FQ48" s="187"/>
      <c r="FR48" s="187"/>
      <c r="FS48" s="187"/>
      <c r="FT48" s="187"/>
      <c r="FU48" s="187"/>
      <c r="FV48" s="187"/>
      <c r="FW48" s="187"/>
      <c r="FX48" s="187"/>
      <c r="FY48" s="187"/>
      <c r="FZ48" s="187"/>
      <c r="GA48" s="187"/>
      <c r="GB48" s="187"/>
      <c r="GC48" s="187"/>
      <c r="GD48" s="187"/>
      <c r="GE48" s="187"/>
      <c r="GF48" s="187"/>
      <c r="GG48" s="187"/>
      <c r="GH48" s="187"/>
      <c r="GI48" s="187"/>
      <c r="GJ48" s="187"/>
      <c r="GK48" s="187"/>
      <c r="GL48" s="187"/>
      <c r="GM48" s="187"/>
      <c r="GN48" s="187"/>
      <c r="GO48" s="187"/>
      <c r="GP48" s="187"/>
      <c r="GQ48" s="187"/>
      <c r="GR48" s="187"/>
      <c r="GS48" s="187"/>
      <c r="GT48" s="187"/>
      <c r="GU48" s="187"/>
      <c r="GV48" s="187"/>
      <c r="GW48" s="187"/>
      <c r="GX48" s="187"/>
      <c r="GY48" s="187"/>
      <c r="GZ48" s="187"/>
      <c r="HA48" s="187"/>
      <c r="HB48" s="187"/>
      <c r="HC48" s="187"/>
      <c r="HD48" s="187"/>
      <c r="HE48" s="187"/>
      <c r="HF48" s="187"/>
      <c r="HG48" s="187"/>
      <c r="HH48" s="187"/>
      <c r="HI48" s="187"/>
      <c r="HJ48" s="187"/>
      <c r="HK48" s="187"/>
      <c r="HL48" s="187"/>
      <c r="HM48" s="187"/>
      <c r="HN48" s="187"/>
      <c r="HO48" s="187"/>
      <c r="HP48" s="187"/>
      <c r="HQ48" s="187"/>
      <c r="HR48" s="187"/>
      <c r="HS48" s="187"/>
      <c r="HT48" s="187"/>
      <c r="HU48" s="187"/>
      <c r="HV48" s="187"/>
      <c r="HW48" s="187"/>
      <c r="HX48" s="187"/>
      <c r="HY48" s="187"/>
      <c r="HZ48" s="187"/>
      <c r="IA48" s="187"/>
      <c r="IB48" s="187"/>
      <c r="IC48" s="187"/>
      <c r="ID48" s="187"/>
      <c r="IE48" s="187"/>
      <c r="IF48" s="187"/>
      <c r="IG48" s="187"/>
      <c r="IH48" s="187"/>
      <c r="II48" s="187"/>
      <c r="IJ48" s="187"/>
      <c r="IK48" s="187"/>
      <c r="IL48" s="187"/>
      <c r="IM48" s="187"/>
      <c r="IN48" s="187"/>
      <c r="IO48" s="187"/>
      <c r="IP48" s="187"/>
      <c r="IQ48" s="187"/>
      <c r="IR48" s="187"/>
      <c r="IS48" s="187"/>
      <c r="IT48" s="187"/>
      <c r="IU48" s="187"/>
    </row>
    <row r="49" spans="1:255" s="74" customFormat="1" ht="24" x14ac:dyDescent="0.2">
      <c r="A49" s="195">
        <v>28</v>
      </c>
      <c r="B49" s="196" t="s">
        <v>89</v>
      </c>
      <c r="C49" s="196" t="s">
        <v>126</v>
      </c>
      <c r="D49" s="196" t="s">
        <v>24</v>
      </c>
      <c r="E49" s="197">
        <f>O49</f>
        <v>2</v>
      </c>
      <c r="F49" s="198">
        <f>ROUND( 39.41 * 12.5, 2 )</f>
        <v>492.63</v>
      </c>
      <c r="G49" s="198">
        <f>ROUND(E49*F49,2)</f>
        <v>985.26</v>
      </c>
      <c r="H49" s="200" t="s">
        <v>540</v>
      </c>
      <c r="I49" s="200" t="s">
        <v>508</v>
      </c>
      <c r="N49" s="187"/>
      <c r="O49" s="187">
        <f>SUM(P49:IV49)</f>
        <v>2</v>
      </c>
      <c r="P49" s="187">
        <f>Source!I75</f>
        <v>2</v>
      </c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7"/>
      <c r="EK49" s="187"/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/>
      <c r="FB49" s="187"/>
      <c r="FC49" s="187"/>
      <c r="FD49" s="187"/>
      <c r="FE49" s="187"/>
      <c r="FF49" s="187"/>
      <c r="FG49" s="187"/>
      <c r="FH49" s="187"/>
      <c r="FI49" s="187"/>
      <c r="FJ49" s="187"/>
      <c r="FK49" s="187"/>
      <c r="FL49" s="187"/>
      <c r="FM49" s="187"/>
      <c r="FN49" s="187"/>
      <c r="FO49" s="187"/>
      <c r="FP49" s="187"/>
      <c r="FQ49" s="187"/>
      <c r="FR49" s="187"/>
      <c r="FS49" s="187"/>
      <c r="FT49" s="187"/>
      <c r="FU49" s="187"/>
      <c r="FV49" s="187"/>
      <c r="FW49" s="187"/>
      <c r="FX49" s="187"/>
      <c r="FY49" s="187"/>
      <c r="FZ49" s="187"/>
      <c r="GA49" s="187"/>
      <c r="GB49" s="187"/>
      <c r="GC49" s="187"/>
      <c r="GD49" s="187"/>
      <c r="GE49" s="187"/>
      <c r="GF49" s="187"/>
      <c r="GG49" s="187"/>
      <c r="GH49" s="187"/>
      <c r="GI49" s="187"/>
      <c r="GJ49" s="187"/>
      <c r="GK49" s="187"/>
      <c r="GL49" s="187"/>
      <c r="GM49" s="187"/>
      <c r="GN49" s="187"/>
      <c r="GO49" s="187"/>
      <c r="GP49" s="187"/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  <c r="IO49" s="187"/>
      <c r="IP49" s="187"/>
      <c r="IQ49" s="187"/>
      <c r="IR49" s="187"/>
      <c r="IS49" s="187"/>
      <c r="IT49" s="187"/>
      <c r="IU49" s="187"/>
    </row>
    <row r="50" spans="1:255" s="74" customFormat="1" ht="24" x14ac:dyDescent="0.2">
      <c r="A50" s="195">
        <v>29</v>
      </c>
      <c r="B50" s="196" t="s">
        <v>89</v>
      </c>
      <c r="C50" s="196" t="s">
        <v>105</v>
      </c>
      <c r="D50" s="196" t="s">
        <v>24</v>
      </c>
      <c r="E50" s="197">
        <f>O50</f>
        <v>2</v>
      </c>
      <c r="F50" s="198">
        <f>ROUND( 612 * 12.5, 2 )</f>
        <v>7650</v>
      </c>
      <c r="G50" s="198">
        <f>ROUND(E50*F50,2)</f>
        <v>15300</v>
      </c>
      <c r="H50" s="199" t="s">
        <v>533</v>
      </c>
      <c r="I50" s="199" t="s">
        <v>508</v>
      </c>
      <c r="N50" s="187"/>
      <c r="O50" s="187">
        <f>SUM(P50:IV50)</f>
        <v>2</v>
      </c>
      <c r="P50" s="187">
        <f>Source!I61</f>
        <v>2</v>
      </c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7"/>
      <c r="FH50" s="187"/>
      <c r="FI50" s="187"/>
      <c r="FJ50" s="187"/>
      <c r="FK50" s="187"/>
      <c r="FL50" s="187"/>
      <c r="FM50" s="187"/>
      <c r="FN50" s="187"/>
      <c r="FO50" s="187"/>
      <c r="FP50" s="187"/>
      <c r="FQ50" s="187"/>
      <c r="FR50" s="187"/>
      <c r="FS50" s="187"/>
      <c r="FT50" s="187"/>
      <c r="FU50" s="187"/>
      <c r="FV50" s="187"/>
      <c r="FW50" s="187"/>
      <c r="FX50" s="187"/>
      <c r="FY50" s="187"/>
      <c r="FZ50" s="187"/>
      <c r="GA50" s="187"/>
      <c r="GB50" s="187"/>
      <c r="GC50" s="187"/>
      <c r="GD50" s="187"/>
      <c r="GE50" s="187"/>
      <c r="GF50" s="187"/>
      <c r="GG50" s="187"/>
      <c r="GH50" s="187"/>
      <c r="GI50" s="187"/>
      <c r="GJ50" s="187"/>
      <c r="GK50" s="187"/>
      <c r="GL50" s="187"/>
      <c r="GM50" s="187"/>
      <c r="GN50" s="187"/>
      <c r="GO50" s="187"/>
      <c r="GP50" s="187"/>
      <c r="GQ50" s="187"/>
      <c r="GR50" s="187"/>
      <c r="GS50" s="187"/>
      <c r="GT50" s="187"/>
      <c r="GU50" s="187"/>
      <c r="GV50" s="187"/>
      <c r="GW50" s="187"/>
      <c r="GX50" s="187"/>
      <c r="GY50" s="187"/>
      <c r="GZ50" s="187"/>
      <c r="HA50" s="187"/>
      <c r="HB50" s="187"/>
      <c r="HC50" s="187"/>
      <c r="HD50" s="187"/>
      <c r="HE50" s="187"/>
      <c r="HF50" s="187"/>
      <c r="HG50" s="187"/>
      <c r="HH50" s="187"/>
      <c r="HI50" s="187"/>
      <c r="HJ50" s="187"/>
      <c r="HK50" s="187"/>
      <c r="HL50" s="187"/>
      <c r="HM50" s="187"/>
      <c r="HN50" s="187"/>
      <c r="HO50" s="187"/>
      <c r="HP50" s="187"/>
      <c r="HQ50" s="187"/>
      <c r="HR50" s="187"/>
      <c r="HS50" s="187"/>
      <c r="HT50" s="187"/>
      <c r="HU50" s="187"/>
      <c r="HV50" s="187"/>
      <c r="HW50" s="187"/>
      <c r="HX50" s="187"/>
      <c r="HY50" s="187"/>
      <c r="HZ50" s="187"/>
      <c r="IA50" s="187"/>
      <c r="IB50" s="187"/>
      <c r="IC50" s="187"/>
      <c r="ID50" s="187"/>
      <c r="IE50" s="187"/>
      <c r="IF50" s="187"/>
      <c r="IG50" s="187"/>
      <c r="IH50" s="187"/>
      <c r="II50" s="187"/>
      <c r="IJ50" s="187"/>
      <c r="IK50" s="187"/>
      <c r="IL50" s="187"/>
      <c r="IM50" s="187"/>
      <c r="IN50" s="187"/>
      <c r="IO50" s="187"/>
      <c r="IP50" s="187"/>
      <c r="IQ50" s="187"/>
      <c r="IR50" s="187"/>
      <c r="IS50" s="187"/>
      <c r="IT50" s="187"/>
      <c r="IU50" s="187"/>
    </row>
    <row r="51" spans="1:255" s="74" customFormat="1" ht="24" x14ac:dyDescent="0.2">
      <c r="A51" s="195">
        <v>30</v>
      </c>
      <c r="B51" s="196" t="s">
        <v>89</v>
      </c>
      <c r="C51" s="196" t="s">
        <v>108</v>
      </c>
      <c r="D51" s="196" t="s">
        <v>24</v>
      </c>
      <c r="E51" s="197">
        <f>O51</f>
        <v>2</v>
      </c>
      <c r="F51" s="198">
        <f>ROUND( 122.4 * 12.5, 2 )</f>
        <v>1530</v>
      </c>
      <c r="G51" s="198">
        <f>ROUND(E51*F51,2)</f>
        <v>3060</v>
      </c>
      <c r="H51" s="199" t="s">
        <v>534</v>
      </c>
      <c r="I51" s="199" t="s">
        <v>508</v>
      </c>
      <c r="N51" s="187"/>
      <c r="O51" s="187">
        <f>SUM(P51:IV51)</f>
        <v>2</v>
      </c>
      <c r="P51" s="187">
        <f>Source!I63</f>
        <v>2</v>
      </c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7"/>
      <c r="FL51" s="187"/>
      <c r="FM51" s="187"/>
      <c r="FN51" s="187"/>
      <c r="FO51" s="187"/>
      <c r="FP51" s="187"/>
      <c r="FQ51" s="187"/>
      <c r="FR51" s="187"/>
      <c r="FS51" s="187"/>
      <c r="FT51" s="187"/>
      <c r="FU51" s="187"/>
      <c r="FV51" s="187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  <c r="GG51" s="187"/>
      <c r="GH51" s="187"/>
      <c r="GI51" s="187"/>
      <c r="GJ51" s="187"/>
      <c r="GK51" s="187"/>
      <c r="GL51" s="187"/>
      <c r="GM51" s="187"/>
      <c r="GN51" s="187"/>
      <c r="GO51" s="187"/>
      <c r="GP51" s="187"/>
      <c r="GQ51" s="187"/>
      <c r="GR51" s="187"/>
      <c r="GS51" s="187"/>
      <c r="GT51" s="187"/>
      <c r="GU51" s="187"/>
      <c r="GV51" s="187"/>
      <c r="GW51" s="187"/>
      <c r="GX51" s="187"/>
      <c r="GY51" s="187"/>
      <c r="GZ51" s="187"/>
      <c r="HA51" s="187"/>
      <c r="HB51" s="187"/>
      <c r="HC51" s="187"/>
      <c r="HD51" s="187"/>
      <c r="HE51" s="187"/>
      <c r="HF51" s="187"/>
      <c r="HG51" s="187"/>
      <c r="HH51" s="187"/>
      <c r="HI51" s="187"/>
      <c r="HJ51" s="187"/>
      <c r="HK51" s="187"/>
      <c r="HL51" s="187"/>
      <c r="HM51" s="187"/>
      <c r="HN51" s="187"/>
      <c r="HO51" s="187"/>
      <c r="HP51" s="187"/>
      <c r="HQ51" s="187"/>
      <c r="HR51" s="187"/>
      <c r="HS51" s="187"/>
      <c r="HT51" s="187"/>
      <c r="HU51" s="187"/>
      <c r="HV51" s="187"/>
      <c r="HW51" s="187"/>
      <c r="HX51" s="187"/>
      <c r="HY51" s="187"/>
      <c r="HZ51" s="187"/>
      <c r="IA51" s="187"/>
      <c r="IB51" s="187"/>
      <c r="IC51" s="187"/>
      <c r="ID51" s="187"/>
      <c r="IE51" s="187"/>
      <c r="IF51" s="187"/>
      <c r="IG51" s="187"/>
      <c r="IH51" s="187"/>
      <c r="II51" s="187"/>
      <c r="IJ51" s="187"/>
      <c r="IK51" s="187"/>
      <c r="IL51" s="187"/>
      <c r="IM51" s="187"/>
      <c r="IN51" s="187"/>
      <c r="IO51" s="187"/>
      <c r="IP51" s="187"/>
      <c r="IQ51" s="187"/>
      <c r="IR51" s="187"/>
      <c r="IS51" s="187"/>
      <c r="IT51" s="187"/>
      <c r="IU51" s="187"/>
    </row>
    <row r="52" spans="1:255" s="74" customFormat="1" ht="36" x14ac:dyDescent="0.2">
      <c r="A52" s="195">
        <v>31</v>
      </c>
      <c r="B52" s="196" t="s">
        <v>89</v>
      </c>
      <c r="C52" s="196" t="s">
        <v>90</v>
      </c>
      <c r="D52" s="196" t="s">
        <v>24</v>
      </c>
      <c r="E52" s="197">
        <f>O52</f>
        <v>2</v>
      </c>
      <c r="F52" s="198">
        <f>ROUND( 5206 * 12.5, 2 )</f>
        <v>65075</v>
      </c>
      <c r="G52" s="198">
        <f>ROUND(E52*F52,2)</f>
        <v>130150</v>
      </c>
      <c r="H52" s="199" t="s">
        <v>529</v>
      </c>
      <c r="I52" s="199" t="s">
        <v>508</v>
      </c>
      <c r="N52" s="187"/>
      <c r="O52" s="187">
        <f>SUM(P52:IV52)</f>
        <v>2</v>
      </c>
      <c r="P52" s="187">
        <f>Source!I53</f>
        <v>2</v>
      </c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7"/>
      <c r="EK52" s="187"/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87"/>
      <c r="FF52" s="187"/>
      <c r="FG52" s="187"/>
      <c r="FH52" s="187"/>
      <c r="FI52" s="187"/>
      <c r="FJ52" s="187"/>
      <c r="FK52" s="187"/>
      <c r="FL52" s="187"/>
      <c r="FM52" s="187"/>
      <c r="FN52" s="187"/>
      <c r="FO52" s="187"/>
      <c r="FP52" s="187"/>
      <c r="FQ52" s="187"/>
      <c r="FR52" s="187"/>
      <c r="FS52" s="187"/>
      <c r="FT52" s="187"/>
      <c r="FU52" s="187"/>
      <c r="FV52" s="187"/>
      <c r="FW52" s="187"/>
      <c r="FX52" s="187"/>
      <c r="FY52" s="187"/>
      <c r="FZ52" s="187"/>
      <c r="GA52" s="187"/>
      <c r="GB52" s="187"/>
      <c r="GC52" s="187"/>
      <c r="GD52" s="187"/>
      <c r="GE52" s="187"/>
      <c r="GF52" s="187"/>
      <c r="GG52" s="187"/>
      <c r="GH52" s="187"/>
      <c r="GI52" s="187"/>
      <c r="GJ52" s="187"/>
      <c r="GK52" s="187"/>
      <c r="GL52" s="187"/>
      <c r="GM52" s="187"/>
      <c r="GN52" s="187"/>
      <c r="GO52" s="187"/>
      <c r="GP52" s="187"/>
      <c r="GQ52" s="187"/>
      <c r="GR52" s="187"/>
      <c r="GS52" s="187"/>
      <c r="GT52" s="187"/>
      <c r="GU52" s="187"/>
      <c r="GV52" s="187"/>
      <c r="GW52" s="187"/>
      <c r="GX52" s="187"/>
      <c r="GY52" s="187"/>
      <c r="GZ52" s="187"/>
      <c r="HA52" s="187"/>
      <c r="HB52" s="187"/>
      <c r="HC52" s="187"/>
      <c r="HD52" s="187"/>
      <c r="HE52" s="187"/>
      <c r="HF52" s="187"/>
      <c r="HG52" s="187"/>
      <c r="HH52" s="187"/>
      <c r="HI52" s="187"/>
      <c r="HJ52" s="187"/>
      <c r="HK52" s="187"/>
      <c r="HL52" s="187"/>
      <c r="HM52" s="187"/>
      <c r="HN52" s="187"/>
      <c r="HO52" s="187"/>
      <c r="HP52" s="187"/>
      <c r="HQ52" s="187"/>
      <c r="HR52" s="187"/>
      <c r="HS52" s="187"/>
      <c r="HT52" s="187"/>
      <c r="HU52" s="187"/>
      <c r="HV52" s="187"/>
      <c r="HW52" s="187"/>
      <c r="HX52" s="187"/>
      <c r="HY52" s="187"/>
      <c r="HZ52" s="187"/>
      <c r="IA52" s="187"/>
      <c r="IB52" s="187"/>
      <c r="IC52" s="187"/>
      <c r="ID52" s="187"/>
      <c r="IE52" s="187"/>
      <c r="IF52" s="187"/>
      <c r="IG52" s="187"/>
      <c r="IH52" s="187"/>
      <c r="II52" s="187"/>
      <c r="IJ52" s="187"/>
      <c r="IK52" s="187"/>
      <c r="IL52" s="187"/>
      <c r="IM52" s="187"/>
      <c r="IN52" s="187"/>
      <c r="IO52" s="187"/>
      <c r="IP52" s="187"/>
      <c r="IQ52" s="187"/>
      <c r="IR52" s="187"/>
      <c r="IS52" s="187"/>
      <c r="IT52" s="187"/>
      <c r="IU52" s="187"/>
    </row>
    <row r="53" spans="1:255" s="74" customFormat="1" ht="24" x14ac:dyDescent="0.2">
      <c r="A53" s="195">
        <v>32</v>
      </c>
      <c r="B53" s="196" t="s">
        <v>89</v>
      </c>
      <c r="C53" s="196" t="s">
        <v>99</v>
      </c>
      <c r="D53" s="196" t="s">
        <v>24</v>
      </c>
      <c r="E53" s="197">
        <f>O53</f>
        <v>2</v>
      </c>
      <c r="F53" s="198">
        <f>ROUND( 1343.62 * 12.5, 2 )</f>
        <v>16795.25</v>
      </c>
      <c r="G53" s="198">
        <f>ROUND(E53*F53,2)</f>
        <v>33590.5</v>
      </c>
      <c r="H53" s="199" t="s">
        <v>531</v>
      </c>
      <c r="I53" s="199" t="s">
        <v>508</v>
      </c>
      <c r="N53" s="187"/>
      <c r="O53" s="187">
        <f>SUM(P53:IV53)</f>
        <v>2</v>
      </c>
      <c r="P53" s="187">
        <f>Source!I57</f>
        <v>2</v>
      </c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  <c r="IA53" s="187"/>
      <c r="IB53" s="187"/>
      <c r="IC53" s="187"/>
      <c r="ID53" s="187"/>
      <c r="IE53" s="187"/>
      <c r="IF53" s="187"/>
      <c r="IG53" s="187"/>
      <c r="IH53" s="187"/>
      <c r="II53" s="187"/>
      <c r="IJ53" s="187"/>
      <c r="IK53" s="187"/>
      <c r="IL53" s="187"/>
      <c r="IM53" s="187"/>
      <c r="IN53" s="187"/>
      <c r="IO53" s="187"/>
      <c r="IP53" s="187"/>
      <c r="IQ53" s="187"/>
      <c r="IR53" s="187"/>
      <c r="IS53" s="187"/>
      <c r="IT53" s="187"/>
      <c r="IU53" s="187"/>
    </row>
    <row r="54" spans="1:255" s="74" customFormat="1" ht="24" x14ac:dyDescent="0.2">
      <c r="A54" s="195">
        <v>33</v>
      </c>
      <c r="B54" s="196" t="s">
        <v>89</v>
      </c>
      <c r="C54" s="196" t="s">
        <v>96</v>
      </c>
      <c r="D54" s="196" t="s">
        <v>24</v>
      </c>
      <c r="E54" s="197">
        <f>O54</f>
        <v>6</v>
      </c>
      <c r="F54" s="198">
        <f>ROUND( 31.77 * 12.5, 2 )</f>
        <v>397.13</v>
      </c>
      <c r="G54" s="198">
        <f>ROUND(E54*F54,2)</f>
        <v>2382.7800000000002</v>
      </c>
      <c r="H54" s="199" t="s">
        <v>530</v>
      </c>
      <c r="I54" s="199" t="s">
        <v>508</v>
      </c>
      <c r="N54" s="187"/>
      <c r="O54" s="187">
        <f>SUM(P54:IV54)</f>
        <v>6</v>
      </c>
      <c r="P54" s="187">
        <f>Source!I55</f>
        <v>6</v>
      </c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  <c r="GD54" s="187"/>
      <c r="GE54" s="187"/>
      <c r="GF54" s="187"/>
      <c r="GG54" s="187"/>
      <c r="GH54" s="187"/>
      <c r="GI54" s="187"/>
      <c r="GJ54" s="187"/>
      <c r="GK54" s="187"/>
      <c r="GL54" s="187"/>
      <c r="GM54" s="187"/>
      <c r="GN54" s="187"/>
      <c r="GO54" s="187"/>
      <c r="GP54" s="187"/>
      <c r="GQ54" s="187"/>
      <c r="GR54" s="187"/>
      <c r="GS54" s="187"/>
      <c r="GT54" s="187"/>
      <c r="GU54" s="187"/>
      <c r="GV54" s="187"/>
      <c r="GW54" s="187"/>
      <c r="GX54" s="187"/>
      <c r="GY54" s="187"/>
      <c r="GZ54" s="187"/>
      <c r="HA54" s="187"/>
      <c r="HB54" s="187"/>
      <c r="HC54" s="187"/>
      <c r="HD54" s="187"/>
      <c r="HE54" s="187"/>
      <c r="HF54" s="187"/>
      <c r="HG54" s="187"/>
      <c r="HH54" s="187"/>
      <c r="HI54" s="187"/>
      <c r="HJ54" s="187"/>
      <c r="HK54" s="187"/>
      <c r="HL54" s="187"/>
      <c r="HM54" s="187"/>
      <c r="HN54" s="187"/>
      <c r="HO54" s="187"/>
      <c r="HP54" s="187"/>
      <c r="HQ54" s="187"/>
      <c r="HR54" s="187"/>
      <c r="HS54" s="187"/>
      <c r="HT54" s="187"/>
      <c r="HU54" s="187"/>
      <c r="HV54" s="187"/>
      <c r="HW54" s="187"/>
      <c r="HX54" s="187"/>
      <c r="HY54" s="187"/>
      <c r="HZ54" s="187"/>
      <c r="IA54" s="187"/>
      <c r="IB54" s="187"/>
      <c r="IC54" s="187"/>
      <c r="ID54" s="187"/>
      <c r="IE54" s="187"/>
      <c r="IF54" s="187"/>
      <c r="IG54" s="187"/>
      <c r="IH54" s="187"/>
      <c r="II54" s="187"/>
      <c r="IJ54" s="187"/>
      <c r="IK54" s="187"/>
      <c r="IL54" s="187"/>
      <c r="IM54" s="187"/>
      <c r="IN54" s="187"/>
      <c r="IO54" s="187"/>
      <c r="IP54" s="187"/>
      <c r="IQ54" s="187"/>
      <c r="IR54" s="187"/>
      <c r="IS54" s="187"/>
      <c r="IT54" s="187"/>
      <c r="IU54" s="187"/>
    </row>
    <row r="55" spans="1:255" s="74" customFormat="1" ht="24" x14ac:dyDescent="0.2">
      <c r="A55" s="195">
        <v>34</v>
      </c>
      <c r="B55" s="196" t="s">
        <v>89</v>
      </c>
      <c r="C55" s="196" t="s">
        <v>135</v>
      </c>
      <c r="D55" s="196" t="s">
        <v>24</v>
      </c>
      <c r="E55" s="197">
        <f>O55</f>
        <v>2</v>
      </c>
      <c r="F55" s="198">
        <f>ROUND( 1145.77 * 12.5, 2 )</f>
        <v>14322.13</v>
      </c>
      <c r="G55" s="198">
        <f>ROUND(E55*F55,2)</f>
        <v>28644.26</v>
      </c>
      <c r="H55" s="199" t="s">
        <v>543</v>
      </c>
      <c r="I55" s="199" t="s">
        <v>508</v>
      </c>
      <c r="N55" s="187"/>
      <c r="O55" s="187">
        <f>SUM(P55:IV55)</f>
        <v>2</v>
      </c>
      <c r="P55" s="187">
        <f>Source!I81</f>
        <v>2</v>
      </c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87"/>
      <c r="FF55" s="187"/>
      <c r="FG55" s="187"/>
      <c r="FH55" s="187"/>
      <c r="FI55" s="187"/>
      <c r="FJ55" s="187"/>
      <c r="FK55" s="187"/>
      <c r="FL55" s="187"/>
      <c r="FM55" s="187"/>
      <c r="FN55" s="187"/>
      <c r="FO55" s="187"/>
      <c r="FP55" s="187"/>
      <c r="FQ55" s="187"/>
      <c r="FR55" s="187"/>
      <c r="FS55" s="187"/>
      <c r="FT55" s="187"/>
      <c r="FU55" s="187"/>
      <c r="FV55" s="187"/>
      <c r="FW55" s="187"/>
      <c r="FX55" s="187"/>
      <c r="FY55" s="187"/>
      <c r="FZ55" s="187"/>
      <c r="GA55" s="187"/>
      <c r="GB55" s="187"/>
      <c r="GC55" s="187"/>
      <c r="GD55" s="187"/>
      <c r="GE55" s="187"/>
      <c r="GF55" s="187"/>
      <c r="GG55" s="187"/>
      <c r="GH55" s="187"/>
      <c r="GI55" s="187"/>
      <c r="GJ55" s="187"/>
      <c r="GK55" s="187"/>
      <c r="GL55" s="187"/>
      <c r="GM55" s="187"/>
      <c r="GN55" s="187"/>
      <c r="GO55" s="187"/>
      <c r="GP55" s="187"/>
      <c r="GQ55" s="187"/>
      <c r="GR55" s="187"/>
      <c r="GS55" s="187"/>
      <c r="GT55" s="187"/>
      <c r="GU55" s="187"/>
      <c r="GV55" s="187"/>
      <c r="GW55" s="187"/>
      <c r="GX55" s="187"/>
      <c r="GY55" s="187"/>
      <c r="GZ55" s="187"/>
      <c r="HA55" s="187"/>
      <c r="HB55" s="187"/>
      <c r="HC55" s="187"/>
      <c r="HD55" s="187"/>
      <c r="HE55" s="187"/>
      <c r="HF55" s="187"/>
      <c r="HG55" s="187"/>
      <c r="HH55" s="187"/>
      <c r="HI55" s="187"/>
      <c r="HJ55" s="187"/>
      <c r="HK55" s="187"/>
      <c r="HL55" s="187"/>
      <c r="HM55" s="187"/>
      <c r="HN55" s="187"/>
      <c r="HO55" s="187"/>
      <c r="HP55" s="187"/>
      <c r="HQ55" s="187"/>
      <c r="HR55" s="187"/>
      <c r="HS55" s="187"/>
      <c r="HT55" s="187"/>
      <c r="HU55" s="187"/>
      <c r="HV55" s="187"/>
      <c r="HW55" s="187"/>
      <c r="HX55" s="187"/>
      <c r="HY55" s="187"/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187"/>
      <c r="IM55" s="187"/>
      <c r="IN55" s="187"/>
      <c r="IO55" s="187"/>
      <c r="IP55" s="187"/>
      <c r="IQ55" s="187"/>
      <c r="IR55" s="187"/>
      <c r="IS55" s="187"/>
      <c r="IT55" s="187"/>
      <c r="IU55" s="187"/>
    </row>
    <row r="56" spans="1:255" s="74" customFormat="1" ht="24" x14ac:dyDescent="0.2">
      <c r="A56" s="195">
        <v>35</v>
      </c>
      <c r="B56" s="196" t="s">
        <v>89</v>
      </c>
      <c r="C56" s="196" t="s">
        <v>129</v>
      </c>
      <c r="D56" s="196" t="s">
        <v>24</v>
      </c>
      <c r="E56" s="197">
        <f>O56</f>
        <v>2</v>
      </c>
      <c r="F56" s="198">
        <f>ROUND( 150.96 * 12.5, 2 )</f>
        <v>1887</v>
      </c>
      <c r="G56" s="198">
        <f>ROUND(E56*F56,2)</f>
        <v>3774</v>
      </c>
      <c r="H56" s="199" t="s">
        <v>541</v>
      </c>
      <c r="I56" s="199" t="s">
        <v>508</v>
      </c>
      <c r="N56" s="187"/>
      <c r="O56" s="187">
        <f>SUM(P56:IV56)</f>
        <v>2</v>
      </c>
      <c r="P56" s="187">
        <f>Source!I77</f>
        <v>2</v>
      </c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7"/>
      <c r="EK56" s="187"/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7"/>
      <c r="EX56" s="187"/>
      <c r="EY56" s="187"/>
      <c r="EZ56" s="187"/>
      <c r="FA56" s="187"/>
      <c r="FB56" s="187"/>
      <c r="FC56" s="187"/>
      <c r="FD56" s="187"/>
      <c r="FE56" s="187"/>
      <c r="FF56" s="187"/>
      <c r="FG56" s="187"/>
      <c r="FH56" s="187"/>
      <c r="FI56" s="187"/>
      <c r="FJ56" s="187"/>
      <c r="FK56" s="187"/>
      <c r="FL56" s="187"/>
      <c r="FM56" s="187"/>
      <c r="FN56" s="187"/>
      <c r="FO56" s="187"/>
      <c r="FP56" s="187"/>
      <c r="FQ56" s="187"/>
      <c r="FR56" s="187"/>
      <c r="FS56" s="187"/>
      <c r="FT56" s="187"/>
      <c r="FU56" s="187"/>
      <c r="FV56" s="187"/>
      <c r="FW56" s="187"/>
      <c r="FX56" s="187"/>
      <c r="FY56" s="187"/>
      <c r="FZ56" s="187"/>
      <c r="GA56" s="187"/>
      <c r="GB56" s="187"/>
      <c r="GC56" s="187"/>
      <c r="GD56" s="187"/>
      <c r="GE56" s="187"/>
      <c r="GF56" s="187"/>
      <c r="GG56" s="187"/>
      <c r="GH56" s="187"/>
      <c r="GI56" s="187"/>
      <c r="GJ56" s="187"/>
      <c r="GK56" s="187"/>
      <c r="GL56" s="187"/>
      <c r="GM56" s="187"/>
      <c r="GN56" s="187"/>
      <c r="GO56" s="187"/>
      <c r="GP56" s="187"/>
      <c r="GQ56" s="187"/>
      <c r="GR56" s="187"/>
      <c r="GS56" s="187"/>
      <c r="GT56" s="187"/>
      <c r="GU56" s="187"/>
      <c r="GV56" s="187"/>
      <c r="GW56" s="187"/>
      <c r="GX56" s="187"/>
      <c r="GY56" s="187"/>
      <c r="GZ56" s="187"/>
      <c r="HA56" s="187"/>
      <c r="HB56" s="187"/>
      <c r="HC56" s="187"/>
      <c r="HD56" s="187"/>
      <c r="HE56" s="187"/>
      <c r="HF56" s="187"/>
      <c r="HG56" s="187"/>
      <c r="HH56" s="187"/>
      <c r="HI56" s="187"/>
      <c r="HJ56" s="187"/>
      <c r="HK56" s="187"/>
      <c r="HL56" s="187"/>
      <c r="HM56" s="187"/>
      <c r="HN56" s="187"/>
      <c r="HO56" s="187"/>
      <c r="HP56" s="187"/>
      <c r="HQ56" s="187"/>
      <c r="HR56" s="187"/>
      <c r="HS56" s="187"/>
      <c r="HT56" s="187"/>
      <c r="HU56" s="187"/>
      <c r="HV56" s="187"/>
      <c r="HW56" s="187"/>
      <c r="HX56" s="187"/>
      <c r="HY56" s="187"/>
      <c r="HZ56" s="187"/>
      <c r="IA56" s="187"/>
      <c r="IB56" s="187"/>
      <c r="IC56" s="187"/>
      <c r="ID56" s="187"/>
      <c r="IE56" s="187"/>
      <c r="IF56" s="187"/>
      <c r="IG56" s="187"/>
      <c r="IH56" s="187"/>
      <c r="II56" s="187"/>
      <c r="IJ56" s="187"/>
      <c r="IK56" s="187"/>
      <c r="IL56" s="187"/>
      <c r="IM56" s="187"/>
      <c r="IN56" s="187"/>
      <c r="IO56" s="187"/>
      <c r="IP56" s="187"/>
      <c r="IQ56" s="187"/>
      <c r="IR56" s="187"/>
      <c r="IS56" s="187"/>
      <c r="IT56" s="187"/>
      <c r="IU56" s="187"/>
    </row>
    <row r="57" spans="1:255" x14ac:dyDescent="0.2">
      <c r="A57" s="191"/>
      <c r="B57" s="191"/>
      <c r="C57" s="192" t="s">
        <v>527</v>
      </c>
      <c r="D57" s="191"/>
      <c r="E57" s="191"/>
      <c r="F57" s="191"/>
      <c r="G57" s="193">
        <f>ROUND(SUM(G42:G56),2)</f>
        <v>449351.64</v>
      </c>
      <c r="H57" s="191"/>
      <c r="I57" s="191"/>
      <c r="J57" s="26"/>
      <c r="K57" s="26"/>
      <c r="L57" s="26"/>
      <c r="M57" s="190">
        <f>G57</f>
        <v>449351.64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9" spans="1:255" x14ac:dyDescent="0.2">
      <c r="C59" s="188" t="s">
        <v>187</v>
      </c>
      <c r="G59" s="189">
        <f>ROUND(SUM(M19:M59),2)</f>
        <v>460460.99</v>
      </c>
    </row>
    <row r="62" spans="1:255" x14ac:dyDescent="0.2">
      <c r="A62" s="171" t="s">
        <v>481</v>
      </c>
      <c r="B62" s="171"/>
      <c r="C62" s="201"/>
      <c r="D62" s="172"/>
      <c r="E62" s="172"/>
      <c r="F62" s="173"/>
      <c r="G62" s="173"/>
      <c r="BY62" s="174">
        <f>C62</f>
        <v>0</v>
      </c>
      <c r="BZ62" s="174">
        <f>F62</f>
        <v>0</v>
      </c>
      <c r="IU62" s="26"/>
    </row>
    <row r="63" spans="1:255" s="203" customFormat="1" ht="11.25" x14ac:dyDescent="0.2">
      <c r="A63" s="202"/>
      <c r="B63" s="202"/>
      <c r="C63" s="204" t="s">
        <v>477</v>
      </c>
      <c r="D63" s="204"/>
      <c r="E63" s="204"/>
      <c r="F63" s="204" t="s">
        <v>478</v>
      </c>
      <c r="G63" s="204"/>
    </row>
    <row r="64" spans="1:255" x14ac:dyDescent="0.2">
      <c r="A64" s="21"/>
      <c r="B64" s="21"/>
      <c r="C64" s="21"/>
      <c r="D64" s="11" t="s">
        <v>479</v>
      </c>
      <c r="E64" s="21"/>
      <c r="F64" s="21"/>
      <c r="G64" s="21"/>
    </row>
    <row r="65" spans="1:255" x14ac:dyDescent="0.2">
      <c r="A65" s="171" t="s">
        <v>482</v>
      </c>
      <c r="B65" s="171"/>
      <c r="C65" s="201"/>
      <c r="D65" s="172"/>
      <c r="E65" s="172"/>
      <c r="F65" s="173"/>
      <c r="G65" s="173"/>
      <c r="BY65" s="174">
        <f>C65</f>
        <v>0</v>
      </c>
      <c r="BZ65" s="174">
        <f>F65</f>
        <v>0</v>
      </c>
      <c r="IU65" s="26"/>
    </row>
    <row r="66" spans="1:255" s="203" customFormat="1" ht="11.25" x14ac:dyDescent="0.2">
      <c r="A66" s="202"/>
      <c r="B66" s="202"/>
      <c r="C66" s="204" t="s">
        <v>477</v>
      </c>
      <c r="D66" s="204"/>
      <c r="E66" s="204"/>
      <c r="F66" s="204" t="s">
        <v>478</v>
      </c>
      <c r="G66" s="204"/>
    </row>
    <row r="67" spans="1:255" x14ac:dyDescent="0.2">
      <c r="A67" s="21"/>
      <c r="B67" s="21"/>
      <c r="C67" s="21"/>
      <c r="D67" s="11" t="s">
        <v>479</v>
      </c>
      <c r="E67" s="21"/>
      <c r="F67" s="21"/>
      <c r="G67" s="21"/>
    </row>
  </sheetData>
  <sortState ref="A42:IU56">
    <sortCondition ref="C42"/>
    <sortCondition ref="D42"/>
  </sortState>
  <mergeCells count="16">
    <mergeCell ref="F65:G65"/>
    <mergeCell ref="C66:E66"/>
    <mergeCell ref="F66:G66"/>
    <mergeCell ref="A8:G8"/>
    <mergeCell ref="A9:G9"/>
    <mergeCell ref="A10:G10"/>
    <mergeCell ref="B11:G11"/>
    <mergeCell ref="F62:G62"/>
    <mergeCell ref="C63:E63"/>
    <mergeCell ref="F63:G63"/>
    <mergeCell ref="A1:G1"/>
    <mergeCell ref="C3:G3"/>
    <mergeCell ref="C4:G4"/>
    <mergeCell ref="C5:G5"/>
    <mergeCell ref="C6:G6"/>
    <mergeCell ref="A7:G7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26"/>
  <sheetViews>
    <sheetView tabSelected="1" topLeftCell="A96" zoomScale="114" zoomScaleNormal="114" workbookViewId="0">
      <selection activeCell="E106" sqref="E106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8.7109375" customWidth="1"/>
    <col min="4" max="4" width="9.7109375" customWidth="1"/>
    <col min="5" max="5" width="7.7109375" customWidth="1"/>
    <col min="6" max="6" width="8.7109375" customWidth="1"/>
    <col min="7" max="7" width="12.7109375" customWidth="1"/>
    <col min="8" max="9" width="8.7109375" customWidth="1"/>
    <col min="10" max="10" width="12.7109375" customWidth="1"/>
    <col min="11" max="11" width="10.7109375" customWidth="1"/>
    <col min="16" max="69" width="0" hidden="1" customWidth="1"/>
    <col min="70" max="71" width="75.7109375" hidden="1" customWidth="1"/>
    <col min="72" max="72" width="113.7109375" hidden="1" customWidth="1"/>
    <col min="73" max="74" width="133.7109375" hidden="1" customWidth="1"/>
    <col min="75" max="75" width="23.7109375" hidden="1" customWidth="1"/>
    <col min="76" max="76" width="0" hidden="1" customWidth="1"/>
    <col min="77" max="77" width="63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381</v>
      </c>
    </row>
    <row r="2" spans="1:255" hidden="1" outlineLevel="1" x14ac:dyDescent="0.2">
      <c r="H2" s="15" t="s">
        <v>382</v>
      </c>
      <c r="I2" s="15"/>
      <c r="J2" s="15"/>
      <c r="K2" s="15"/>
    </row>
    <row r="3" spans="1:255" hidden="1" outlineLevel="1" x14ac:dyDescent="0.2">
      <c r="H3" s="15" t="s">
        <v>383</v>
      </c>
      <c r="I3" s="15"/>
      <c r="J3" s="15"/>
      <c r="K3" s="15"/>
    </row>
    <row r="4" spans="1:255" hidden="1" outlineLevel="1" x14ac:dyDescent="0.2">
      <c r="H4" s="15" t="s">
        <v>384</v>
      </c>
      <c r="I4" s="15"/>
      <c r="J4" s="15"/>
      <c r="K4" s="15"/>
    </row>
    <row r="5" spans="1:255" s="13" customFormat="1" ht="11.25" hidden="1" outlineLevel="1" x14ac:dyDescent="0.2">
      <c r="J5" s="16" t="s">
        <v>385</v>
      </c>
      <c r="K5" s="20"/>
    </row>
    <row r="6" spans="1:255" s="17" customFormat="1" ht="9.75" hidden="1" outlineLevel="1" x14ac:dyDescent="0.2">
      <c r="I6" s="18" t="s">
        <v>386</v>
      </c>
      <c r="J6" s="19" t="s">
        <v>387</v>
      </c>
      <c r="K6" s="27"/>
    </row>
    <row r="7" spans="1:255" hidden="1" outlineLevel="1" x14ac:dyDescent="0.2">
      <c r="A7" s="24" t="s">
        <v>388</v>
      </c>
      <c r="B7" s="22"/>
      <c r="C7" s="33"/>
      <c r="D7" s="34"/>
      <c r="E7" s="34"/>
      <c r="F7" s="34"/>
      <c r="G7" s="34"/>
      <c r="I7" s="18" t="s">
        <v>389</v>
      </c>
      <c r="J7" s="35"/>
      <c r="K7" s="36"/>
      <c r="BR7" s="25">
        <f>C7</f>
        <v>0</v>
      </c>
      <c r="IU7" s="26"/>
    </row>
    <row r="8" spans="1:255" hidden="1" outlineLevel="1" x14ac:dyDescent="0.2">
      <c r="A8" s="24" t="s">
        <v>390</v>
      </c>
      <c r="B8" s="22"/>
      <c r="C8" s="30"/>
      <c r="D8" s="29"/>
      <c r="E8" s="29"/>
      <c r="F8" s="29"/>
      <c r="G8" s="29"/>
      <c r="I8" s="18" t="s">
        <v>389</v>
      </c>
      <c r="J8" s="35"/>
      <c r="K8" s="36"/>
      <c r="BR8" s="25">
        <f>C8</f>
        <v>0</v>
      </c>
      <c r="IU8" s="26"/>
    </row>
    <row r="9" spans="1:255" hidden="1" outlineLevel="1" x14ac:dyDescent="0.2">
      <c r="A9" s="24" t="s">
        <v>391</v>
      </c>
      <c r="B9" s="22"/>
      <c r="C9" s="30"/>
      <c r="D9" s="29"/>
      <c r="E9" s="29"/>
      <c r="F9" s="29"/>
      <c r="G9" s="29"/>
      <c r="I9" s="18" t="s">
        <v>389</v>
      </c>
      <c r="J9" s="35"/>
      <c r="K9" s="36"/>
      <c r="BR9" s="25">
        <f>C9</f>
        <v>0</v>
      </c>
      <c r="IU9" s="26"/>
    </row>
    <row r="10" spans="1:255" hidden="1" outlineLevel="1" x14ac:dyDescent="0.2">
      <c r="A10" s="24" t="s">
        <v>392</v>
      </c>
      <c r="B10" s="22"/>
      <c r="C10" s="30"/>
      <c r="D10" s="29"/>
      <c r="E10" s="29"/>
      <c r="F10" s="29"/>
      <c r="G10" s="29"/>
      <c r="I10" s="18" t="s">
        <v>389</v>
      </c>
      <c r="J10" s="35"/>
      <c r="K10" s="36"/>
      <c r="BR10" s="25">
        <f>C10</f>
        <v>0</v>
      </c>
      <c r="IU10" s="26"/>
    </row>
    <row r="11" spans="1:255" hidden="1" outlineLevel="1" x14ac:dyDescent="0.2">
      <c r="A11" s="24" t="s">
        <v>393</v>
      </c>
      <c r="C11" s="37"/>
      <c r="D11" s="37"/>
      <c r="E11" s="37"/>
      <c r="F11" s="37"/>
      <c r="G11" s="37"/>
      <c r="J11" s="35"/>
      <c r="K11" s="42"/>
      <c r="BS11" s="41">
        <f>C11</f>
        <v>0</v>
      </c>
      <c r="IU11" s="26"/>
    </row>
    <row r="12" spans="1:255" hidden="1" outlineLevel="1" x14ac:dyDescent="0.2">
      <c r="A12" s="24" t="s">
        <v>394</v>
      </c>
      <c r="C12" s="37" t="s">
        <v>5</v>
      </c>
      <c r="D12" s="37"/>
      <c r="E12" s="37"/>
      <c r="F12" s="37"/>
      <c r="G12" s="37"/>
      <c r="J12" s="35"/>
      <c r="K12" s="42"/>
      <c r="BS12" s="41" t="str">
        <f>C12</f>
        <v>Установка РУ-10 кВ ТП514 2 комплексов учета электроэнергиии</v>
      </c>
      <c r="IU12" s="26"/>
    </row>
    <row r="13" spans="1:255" hidden="1" outlineLevel="1" x14ac:dyDescent="0.2">
      <c r="A13" s="24" t="s">
        <v>395</v>
      </c>
      <c r="C13" s="43" t="s">
        <v>396</v>
      </c>
      <c r="D13" s="38"/>
      <c r="E13" s="38"/>
      <c r="F13" s="38"/>
      <c r="G13" s="38"/>
      <c r="I13" s="18" t="s">
        <v>397</v>
      </c>
      <c r="J13" s="35"/>
      <c r="K13" s="42"/>
      <c r="BS13" s="44" t="str">
        <f>C13</f>
        <v xml:space="preserve"> </v>
      </c>
      <c r="IU13" s="26"/>
    </row>
    <row r="14" spans="1:255" hidden="1" outlineLevel="1" x14ac:dyDescent="0.2">
      <c r="G14" s="45" t="s">
        <v>398</v>
      </c>
      <c r="H14" s="45"/>
      <c r="I14" s="46" t="s">
        <v>399</v>
      </c>
      <c r="J14" s="48"/>
      <c r="K14" s="51"/>
      <c r="BW14" s="49">
        <f>J14</f>
        <v>0</v>
      </c>
      <c r="IU14" s="26"/>
    </row>
    <row r="15" spans="1:255" hidden="1" outlineLevel="1" x14ac:dyDescent="0.2">
      <c r="I15" s="47" t="s">
        <v>400</v>
      </c>
      <c r="J15" s="50"/>
      <c r="K15" s="52"/>
    </row>
    <row r="16" spans="1:255" s="17" customFormat="1" ht="11.25" hidden="1" outlineLevel="1" x14ac:dyDescent="0.2">
      <c r="I16" s="18" t="s">
        <v>401</v>
      </c>
      <c r="J16" s="28"/>
      <c r="K16" s="39"/>
    </row>
    <row r="17" spans="1:255" hidden="1" outlineLevel="1" x14ac:dyDescent="0.2"/>
    <row r="18" spans="1:255" hidden="1" outlineLevel="1" x14ac:dyDescent="0.2">
      <c r="G18" s="55" t="s">
        <v>402</v>
      </c>
      <c r="H18" s="55" t="s">
        <v>403</v>
      </c>
      <c r="I18" s="55" t="s">
        <v>404</v>
      </c>
      <c r="J18" s="56"/>
    </row>
    <row r="19" spans="1:255" ht="13.5" hidden="1" outlineLevel="1" thickBot="1" x14ac:dyDescent="0.25">
      <c r="G19" s="59"/>
      <c r="H19" s="59"/>
      <c r="I19" s="60" t="s">
        <v>405</v>
      </c>
      <c r="J19" s="61" t="s">
        <v>406</v>
      </c>
    </row>
    <row r="20" spans="1:255" ht="19.5" hidden="1" outlineLevel="1" thickBot="1" x14ac:dyDescent="0.35">
      <c r="C20" s="58" t="s">
        <v>407</v>
      </c>
      <c r="D20" s="58"/>
      <c r="E20" s="58"/>
      <c r="F20" s="58"/>
      <c r="G20" s="62"/>
      <c r="H20" s="63"/>
      <c r="I20" s="64"/>
      <c r="J20" s="65"/>
      <c r="K20" s="66"/>
    </row>
    <row r="21" spans="1:255" ht="15.75" hidden="1" outlineLevel="1" x14ac:dyDescent="0.25">
      <c r="C21" s="67" t="s">
        <v>408</v>
      </c>
      <c r="D21" s="67"/>
      <c r="E21" s="67"/>
      <c r="F21" s="67"/>
    </row>
    <row r="22" spans="1:255" hidden="1" outlineLevel="1" x14ac:dyDescent="0.2">
      <c r="C22" s="68"/>
      <c r="D22" s="57"/>
      <c r="E22" s="57"/>
      <c r="F22" s="57"/>
    </row>
    <row r="23" spans="1:255" hidden="1" outlineLevel="1" x14ac:dyDescent="0.2">
      <c r="C23" s="70"/>
      <c r="D23" s="69"/>
      <c r="E23" s="69"/>
      <c r="F23" s="69"/>
      <c r="BU23" s="25">
        <f>A23</f>
        <v>0</v>
      </c>
      <c r="IU23" s="26"/>
    </row>
    <row r="24" spans="1:255" hidden="1" outlineLevel="1" x14ac:dyDescent="0.2">
      <c r="A24" s="17" t="s">
        <v>409</v>
      </c>
    </row>
    <row r="25" spans="1:255" hidden="1" outlineLevel="1" x14ac:dyDescent="0.2">
      <c r="A25" s="17" t="s">
        <v>410</v>
      </c>
    </row>
    <row r="26" spans="1:255" hidden="1" outlineLevel="1" x14ac:dyDescent="0.2">
      <c r="A26" s="17" t="s">
        <v>411</v>
      </c>
      <c r="B26" s="17"/>
      <c r="C26" s="17"/>
      <c r="D26" s="17"/>
      <c r="E26" s="71">
        <f>J206/1000</f>
        <v>639.68296999999995</v>
      </c>
      <c r="F26" s="71"/>
      <c r="G26" s="17" t="s">
        <v>412</v>
      </c>
      <c r="H26" s="17"/>
      <c r="I26" s="17"/>
      <c r="J26" s="17"/>
      <c r="K26" s="17"/>
    </row>
    <row r="27" spans="1:255" collapsed="1" x14ac:dyDescent="0.2"/>
    <row r="28" spans="1:255" outlineLevel="1" x14ac:dyDescent="0.2">
      <c r="K28" s="72" t="s">
        <v>413</v>
      </c>
    </row>
    <row r="29" spans="1:255" outlineLevel="1" x14ac:dyDescent="0.2">
      <c r="A29" s="24" t="s">
        <v>393</v>
      </c>
      <c r="C29" s="73"/>
      <c r="D29" s="73"/>
      <c r="E29" s="73"/>
      <c r="F29" s="73"/>
      <c r="G29" s="73"/>
      <c r="H29" s="73"/>
      <c r="I29" s="73"/>
      <c r="J29" s="73"/>
      <c r="K29" s="73"/>
      <c r="BT29" s="75">
        <f>C29</f>
        <v>0</v>
      </c>
      <c r="IU29" s="26"/>
    </row>
    <row r="30" spans="1:255" outlineLevel="1" x14ac:dyDescent="0.2">
      <c r="A30" s="24" t="s">
        <v>394</v>
      </c>
      <c r="C30" s="73" t="s">
        <v>5</v>
      </c>
      <c r="D30" s="73"/>
      <c r="E30" s="73"/>
      <c r="F30" s="73"/>
      <c r="G30" s="73"/>
      <c r="H30" s="73"/>
      <c r="I30" s="73"/>
      <c r="J30" s="73"/>
      <c r="K30" s="73"/>
      <c r="BT30" s="75" t="str">
        <f>C30</f>
        <v>Установка РУ-10 кВ ТП514 2 комплексов учета электроэнергиии</v>
      </c>
      <c r="IU30" s="26"/>
    </row>
    <row r="31" spans="1:255" outlineLevel="1" x14ac:dyDescent="0.2">
      <c r="A31" s="24" t="s">
        <v>395</v>
      </c>
      <c r="C31" s="76" t="s">
        <v>414</v>
      </c>
      <c r="D31" s="73"/>
      <c r="E31" s="73"/>
      <c r="F31" s="73"/>
      <c r="G31" s="73"/>
      <c r="H31" s="73"/>
      <c r="I31" s="73"/>
      <c r="J31" s="73"/>
      <c r="K31" s="73"/>
      <c r="BT31" s="77" t="str">
        <f>C31</f>
        <v xml:space="preserve">  </v>
      </c>
      <c r="IU31" s="26"/>
    </row>
    <row r="32" spans="1:255" outlineLevel="1" x14ac:dyDescent="0.2"/>
    <row r="33" spans="1:255" ht="18.75" outlineLevel="1" x14ac:dyDescent="0.3">
      <c r="A33" s="58" t="s">
        <v>415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255" outlineLevel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BV34" s="41">
        <f>A34</f>
        <v>0</v>
      </c>
      <c r="IU34" s="26"/>
    </row>
    <row r="35" spans="1:255" outlineLevel="1" x14ac:dyDescent="0.2">
      <c r="A35" s="24" t="s">
        <v>416</v>
      </c>
      <c r="C35" s="73"/>
      <c r="D35" s="73"/>
      <c r="E35" s="73"/>
      <c r="F35" s="73"/>
      <c r="G35" s="73"/>
      <c r="H35" s="73"/>
      <c r="I35" s="73"/>
      <c r="J35" s="73"/>
      <c r="K35" s="73"/>
      <c r="BT35" s="75">
        <f>C35</f>
        <v>0</v>
      </c>
      <c r="IU35" s="26"/>
    </row>
    <row r="36" spans="1:255" outlineLevel="1" x14ac:dyDescent="0.2">
      <c r="I36" s="79" t="s">
        <v>464</v>
      </c>
      <c r="J36" s="79" t="s">
        <v>417</v>
      </c>
    </row>
    <row r="37" spans="1:255" outlineLevel="1" x14ac:dyDescent="0.2">
      <c r="G37" s="14" t="s">
        <v>418</v>
      </c>
      <c r="H37" s="14"/>
      <c r="I37" s="80">
        <f>H206/1000</f>
        <v>47.604129999999998</v>
      </c>
      <c r="J37" s="80">
        <f>J206/1000</f>
        <v>639.68296999999995</v>
      </c>
      <c r="K37" s="14" t="s">
        <v>419</v>
      </c>
    </row>
    <row r="38" spans="1:255" outlineLevel="1" x14ac:dyDescent="0.2">
      <c r="G38" s="13" t="s">
        <v>420</v>
      </c>
      <c r="H38" s="13"/>
      <c r="I38" s="81">
        <f>(EW194+EY194)/1000</f>
        <v>4.6571999999999996</v>
      </c>
      <c r="J38" s="81">
        <f>(CZ194+DB194)/1000</f>
        <v>79.986750000000001</v>
      </c>
      <c r="K38" s="13" t="s">
        <v>419</v>
      </c>
    </row>
    <row r="39" spans="1:255" outlineLevel="1" x14ac:dyDescent="0.2">
      <c r="G39" s="13" t="s">
        <v>421</v>
      </c>
      <c r="H39" s="13"/>
      <c r="I39" s="81">
        <f>ET194</f>
        <v>356.06594749999999</v>
      </c>
      <c r="J39" s="81">
        <f>CW194</f>
        <v>356.06594749999999</v>
      </c>
      <c r="K39" s="13" t="s">
        <v>422</v>
      </c>
    </row>
    <row r="40" spans="1:255" outlineLevel="1" x14ac:dyDescent="0.2">
      <c r="A40" s="17" t="s">
        <v>409</v>
      </c>
    </row>
    <row r="41" spans="1:255" ht="13.5" outlineLevel="1" thickBot="1" x14ac:dyDescent="0.25">
      <c r="A41" s="17" t="s">
        <v>410</v>
      </c>
    </row>
    <row r="42" spans="1:255" x14ac:dyDescent="0.2">
      <c r="A42" s="83" t="s">
        <v>423</v>
      </c>
      <c r="B42" s="86" t="s">
        <v>424</v>
      </c>
      <c r="C42" s="86" t="s">
        <v>425</v>
      </c>
      <c r="D42" s="86" t="s">
        <v>426</v>
      </c>
      <c r="E42" s="86" t="s">
        <v>427</v>
      </c>
      <c r="F42" s="86" t="s">
        <v>428</v>
      </c>
      <c r="G42" s="86" t="s">
        <v>429</v>
      </c>
      <c r="H42" s="86" t="s">
        <v>430</v>
      </c>
      <c r="I42" s="86" t="s">
        <v>431</v>
      </c>
      <c r="J42" s="86" t="s">
        <v>432</v>
      </c>
      <c r="K42" s="84" t="s">
        <v>433</v>
      </c>
    </row>
    <row r="43" spans="1:255" x14ac:dyDescent="0.2">
      <c r="A43" s="82"/>
      <c r="B43" s="87"/>
      <c r="C43" s="87"/>
      <c r="D43" s="87"/>
      <c r="E43" s="87"/>
      <c r="F43" s="87"/>
      <c r="G43" s="87"/>
      <c r="H43" s="87"/>
      <c r="I43" s="87"/>
      <c r="J43" s="87"/>
      <c r="K43" s="85"/>
    </row>
    <row r="44" spans="1:255" x14ac:dyDescent="0.2">
      <c r="A44" s="82"/>
      <c r="B44" s="87"/>
      <c r="C44" s="87"/>
      <c r="D44" s="87"/>
      <c r="E44" s="87"/>
      <c r="F44" s="87"/>
      <c r="G44" s="87"/>
      <c r="H44" s="87"/>
      <c r="I44" s="87"/>
      <c r="J44" s="87"/>
      <c r="K44" s="85"/>
    </row>
    <row r="45" spans="1:255" ht="13.5" thickBot="1" x14ac:dyDescent="0.25">
      <c r="A45" s="82"/>
      <c r="B45" s="87"/>
      <c r="C45" s="87"/>
      <c r="D45" s="87"/>
      <c r="E45" s="87"/>
      <c r="F45" s="87"/>
      <c r="G45" s="87"/>
      <c r="H45" s="87"/>
      <c r="I45" s="87"/>
      <c r="J45" s="87"/>
      <c r="K45" s="85"/>
    </row>
    <row r="46" spans="1:255" ht="13.5" thickBot="1" x14ac:dyDescent="0.25">
      <c r="A46" s="88">
        <v>1</v>
      </c>
      <c r="B46" s="88">
        <v>2</v>
      </c>
      <c r="C46" s="88">
        <v>3</v>
      </c>
      <c r="D46" s="88">
        <v>4</v>
      </c>
      <c r="E46" s="88">
        <v>5</v>
      </c>
      <c r="F46" s="88">
        <v>6</v>
      </c>
      <c r="G46" s="88">
        <v>7</v>
      </c>
      <c r="H46" s="88">
        <v>8</v>
      </c>
      <c r="I46" s="88">
        <v>9</v>
      </c>
      <c r="J46" s="88">
        <v>10</v>
      </c>
      <c r="K46" s="88">
        <v>11</v>
      </c>
    </row>
    <row r="47" spans="1:255" ht="36" x14ac:dyDescent="0.2">
      <c r="A47" s="89">
        <v>1</v>
      </c>
      <c r="B47" s="96" t="s">
        <v>14</v>
      </c>
      <c r="C47" s="90" t="s">
        <v>15</v>
      </c>
      <c r="D47" s="91" t="s">
        <v>16</v>
      </c>
      <c r="E47" s="92">
        <v>0.08</v>
      </c>
      <c r="F47" s="93">
        <f>Source!AK25</f>
        <v>46.83</v>
      </c>
      <c r="G47" s="97" t="s">
        <v>3</v>
      </c>
      <c r="H47" s="93">
        <f>Source!AB25</f>
        <v>46.83</v>
      </c>
      <c r="I47" s="93"/>
      <c r="J47" s="95"/>
      <c r="K47" s="94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255" x14ac:dyDescent="0.2">
      <c r="A48" s="103"/>
      <c r="B48" s="98"/>
      <c r="C48" s="98" t="s">
        <v>436</v>
      </c>
      <c r="D48" s="99"/>
      <c r="E48" s="100"/>
      <c r="F48" s="104">
        <v>46.83</v>
      </c>
      <c r="G48" s="101"/>
      <c r="H48" s="104">
        <f>Source!AF25</f>
        <v>46.83</v>
      </c>
      <c r="I48" s="104">
        <f>T48</f>
        <v>3.75</v>
      </c>
      <c r="J48" s="102">
        <v>12.5</v>
      </c>
      <c r="K48" s="105">
        <f>U48</f>
        <v>46.83</v>
      </c>
      <c r="O48" s="26"/>
      <c r="P48" s="26"/>
      <c r="Q48" s="26"/>
      <c r="R48" s="26"/>
      <c r="S48" s="26"/>
      <c r="T48" s="26">
        <f>ROUND(Source!AF25*Source!AV25*Source!I25,2)</f>
        <v>3.75</v>
      </c>
      <c r="U48" s="26">
        <f>Source!S25</f>
        <v>46.83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>
        <f>T48</f>
        <v>3.75</v>
      </c>
      <c r="GK48" s="26">
        <f>T48</f>
        <v>3.75</v>
      </c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>
        <f>T48</f>
        <v>3.75</v>
      </c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x14ac:dyDescent="0.2">
      <c r="A49" s="111"/>
      <c r="B49" s="107"/>
      <c r="C49" s="107" t="s">
        <v>437</v>
      </c>
      <c r="D49" s="108"/>
      <c r="E49" s="109">
        <v>78</v>
      </c>
      <c r="F49" s="112" t="s">
        <v>438</v>
      </c>
      <c r="G49" s="110"/>
      <c r="H49" s="113">
        <f>ROUND((Source!AF25*Source!AV25+Source!AE25*Source!AV25)*(Source!FX25)/100,2)</f>
        <v>36.53</v>
      </c>
      <c r="I49" s="113">
        <f>T49</f>
        <v>2.93</v>
      </c>
      <c r="J49" s="115">
        <v>0.78</v>
      </c>
      <c r="K49" s="114">
        <f>U49</f>
        <v>36.53</v>
      </c>
      <c r="O49" s="26"/>
      <c r="P49" s="26"/>
      <c r="Q49" s="26"/>
      <c r="R49" s="26"/>
      <c r="S49" s="26"/>
      <c r="T49" s="26">
        <f>ROUND((ROUND(Source!AF25*Source!AV25*Source!I25,2)+ROUND(Source!AE25*Source!AV25*Source!I25,2))*(Source!FX25)/100,2)</f>
        <v>2.93</v>
      </c>
      <c r="U49" s="26">
        <f>Source!X25</f>
        <v>36.53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>
        <f>T49</f>
        <v>2.93</v>
      </c>
      <c r="GZ49" s="26"/>
      <c r="HA49" s="26"/>
      <c r="HB49" s="26">
        <f>T49</f>
        <v>2.93</v>
      </c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x14ac:dyDescent="0.2">
      <c r="A50" s="111"/>
      <c r="B50" s="107"/>
      <c r="C50" s="107" t="s">
        <v>439</v>
      </c>
      <c r="D50" s="108"/>
      <c r="E50" s="109">
        <v>50</v>
      </c>
      <c r="F50" s="112" t="s">
        <v>438</v>
      </c>
      <c r="G50" s="110"/>
      <c r="H50" s="113">
        <f>ROUND((Source!AF25*Source!AV25+Source!AE25*Source!AV25)*(Source!FY25)/100,2)</f>
        <v>23.42</v>
      </c>
      <c r="I50" s="113">
        <f>T50</f>
        <v>1.88</v>
      </c>
      <c r="J50" s="115">
        <v>0.5</v>
      </c>
      <c r="K50" s="114">
        <f>U50</f>
        <v>23.42</v>
      </c>
      <c r="O50" s="26"/>
      <c r="P50" s="26"/>
      <c r="Q50" s="26"/>
      <c r="R50" s="26"/>
      <c r="S50" s="26"/>
      <c r="T50" s="26">
        <f>ROUND((ROUND(Source!AF25*Source!AV25*Source!I25,2)+ROUND(Source!AE25*Source!AV25*Source!I25,2))*(Source!FY25)/100,2)</f>
        <v>1.88</v>
      </c>
      <c r="U50" s="26">
        <f>Source!Y25</f>
        <v>23.42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>
        <f>T50</f>
        <v>1.88</v>
      </c>
      <c r="HA50" s="26"/>
      <c r="HB50" s="26">
        <f>T50</f>
        <v>1.88</v>
      </c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spans="1:255" ht="13.5" thickBot="1" x14ac:dyDescent="0.25">
      <c r="A51" s="124"/>
      <c r="B51" s="125"/>
      <c r="C51" s="125" t="s">
        <v>440</v>
      </c>
      <c r="D51" s="126" t="s">
        <v>441</v>
      </c>
      <c r="E51" s="127">
        <v>5.49</v>
      </c>
      <c r="F51" s="128"/>
      <c r="G51" s="129"/>
      <c r="H51" s="128">
        <f>ROUND(Source!AH25,2)</f>
        <v>5.49</v>
      </c>
      <c r="I51" s="130">
        <f>Source!U25</f>
        <v>0.43920000000000003</v>
      </c>
      <c r="J51" s="128"/>
      <c r="K51" s="131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spans="1:255" x14ac:dyDescent="0.2">
      <c r="A52" s="123"/>
      <c r="B52" s="122"/>
      <c r="C52" s="122"/>
      <c r="D52" s="122"/>
      <c r="E52" s="122"/>
      <c r="F52" s="122"/>
      <c r="G52" s="122"/>
      <c r="H52" s="132">
        <f>R52</f>
        <v>8.5599999999999987</v>
      </c>
      <c r="I52" s="133"/>
      <c r="J52" s="132">
        <f>S52</f>
        <v>106.78</v>
      </c>
      <c r="K52" s="134"/>
      <c r="O52" s="26"/>
      <c r="P52" s="26"/>
      <c r="Q52" s="26"/>
      <c r="R52" s="26">
        <f>SUM(T47:T51)</f>
        <v>8.5599999999999987</v>
      </c>
      <c r="S52" s="26">
        <f>SUM(U47:U51)</f>
        <v>106.78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>
        <f>R52</f>
        <v>8.5599999999999987</v>
      </c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spans="1:255" x14ac:dyDescent="0.2">
      <c r="A53" s="135">
        <v>2</v>
      </c>
      <c r="B53" s="143" t="s">
        <v>22</v>
      </c>
      <c r="C53" s="136" t="s">
        <v>23</v>
      </c>
      <c r="D53" s="137" t="s">
        <v>24</v>
      </c>
      <c r="E53" s="138">
        <v>6</v>
      </c>
      <c r="F53" s="139">
        <f>Source!AK27</f>
        <v>41.019999999999996</v>
      </c>
      <c r="G53" s="144" t="s">
        <v>3</v>
      </c>
      <c r="H53" s="139">
        <f>Source!AB27</f>
        <v>41.02</v>
      </c>
      <c r="I53" s="139"/>
      <c r="J53" s="142"/>
      <c r="K53" s="14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spans="1:255" x14ac:dyDescent="0.2">
      <c r="A54" s="103"/>
      <c r="B54" s="98"/>
      <c r="C54" s="98" t="s">
        <v>436</v>
      </c>
      <c r="D54" s="99"/>
      <c r="E54" s="100"/>
      <c r="F54" s="104">
        <v>23.38</v>
      </c>
      <c r="G54" s="101"/>
      <c r="H54" s="104">
        <f>Source!AF27</f>
        <v>23.38</v>
      </c>
      <c r="I54" s="104">
        <f>T54</f>
        <v>140.28</v>
      </c>
      <c r="J54" s="102">
        <v>12.5</v>
      </c>
      <c r="K54" s="105">
        <f>U54</f>
        <v>1753.5</v>
      </c>
      <c r="O54" s="26"/>
      <c r="P54" s="26"/>
      <c r="Q54" s="26"/>
      <c r="R54" s="26"/>
      <c r="S54" s="26"/>
      <c r="T54" s="26">
        <f>ROUND(Source!AF27*Source!AV27*Source!I27,2)</f>
        <v>140.28</v>
      </c>
      <c r="U54" s="26">
        <f>Source!S27</f>
        <v>1753.5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>
        <f>T54</f>
        <v>140.28</v>
      </c>
      <c r="GK54" s="26">
        <f>T54</f>
        <v>140.28</v>
      </c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>
        <f>T54</f>
        <v>140.28</v>
      </c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</row>
    <row r="55" spans="1:255" x14ac:dyDescent="0.2">
      <c r="A55" s="120"/>
      <c r="B55" s="116"/>
      <c r="C55" s="116" t="s">
        <v>442</v>
      </c>
      <c r="D55" s="117"/>
      <c r="E55" s="118"/>
      <c r="F55" s="121">
        <v>9.74</v>
      </c>
      <c r="G55" s="119"/>
      <c r="H55" s="121">
        <f>Source!AD27</f>
        <v>9.74</v>
      </c>
      <c r="I55" s="121">
        <f>T55</f>
        <v>58.44</v>
      </c>
      <c r="J55" s="145">
        <v>12.5</v>
      </c>
      <c r="K55" s="146">
        <f>U55</f>
        <v>730.5</v>
      </c>
      <c r="O55" s="26"/>
      <c r="P55" s="26"/>
      <c r="Q55" s="26"/>
      <c r="R55" s="26"/>
      <c r="S55" s="26"/>
      <c r="T55" s="26">
        <f>ROUND(Source!AD27*Source!AV27*Source!I27,2)</f>
        <v>58.44</v>
      </c>
      <c r="U55" s="26">
        <f>Source!Q27</f>
        <v>730.5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>
        <f>T55</f>
        <v>58.44</v>
      </c>
      <c r="GK55" s="26"/>
      <c r="GL55" s="26">
        <f>T55</f>
        <v>58.44</v>
      </c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>
        <f>T55</f>
        <v>58.44</v>
      </c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</row>
    <row r="56" spans="1:255" x14ac:dyDescent="0.2">
      <c r="A56" s="120"/>
      <c r="B56" s="116"/>
      <c r="C56" s="116" t="s">
        <v>443</v>
      </c>
      <c r="D56" s="117"/>
      <c r="E56" s="118"/>
      <c r="F56" s="121">
        <v>1.23</v>
      </c>
      <c r="G56" s="119"/>
      <c r="H56" s="121">
        <f>Source!AE27</f>
        <v>1.23</v>
      </c>
      <c r="I56" s="121">
        <f>GM56</f>
        <v>7.38</v>
      </c>
      <c r="J56" s="145">
        <v>12.5</v>
      </c>
      <c r="K56" s="146">
        <f>Source!R27</f>
        <v>92.25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>
        <f>ROUND(Source!AE27*Source!AV27*Source!I27,2)</f>
        <v>7.38</v>
      </c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spans="1:255" x14ac:dyDescent="0.2">
      <c r="A57" s="120"/>
      <c r="B57" s="116"/>
      <c r="C57" s="116" t="s">
        <v>444</v>
      </c>
      <c r="D57" s="117"/>
      <c r="E57" s="118"/>
      <c r="F57" s="121">
        <v>7.9</v>
      </c>
      <c r="G57" s="119"/>
      <c r="H57" s="121">
        <f>Source!AC27</f>
        <v>7.9</v>
      </c>
      <c r="I57" s="121">
        <f>T57</f>
        <v>47.4</v>
      </c>
      <c r="J57" s="145">
        <v>12.5</v>
      </c>
      <c r="K57" s="146">
        <f>U57</f>
        <v>592.5</v>
      </c>
      <c r="O57" s="26"/>
      <c r="P57" s="26"/>
      <c r="Q57" s="26"/>
      <c r="R57" s="26"/>
      <c r="S57" s="26"/>
      <c r="T57" s="26">
        <f>ROUND(Source!AC27*Source!AW27*Source!I27,2)</f>
        <v>47.4</v>
      </c>
      <c r="U57" s="26">
        <f>Source!P27</f>
        <v>592.5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>
        <f>T57</f>
        <v>47.4</v>
      </c>
      <c r="GK57" s="26"/>
      <c r="GL57" s="26"/>
      <c r="GM57" s="26"/>
      <c r="GN57" s="26">
        <f>T57</f>
        <v>47.4</v>
      </c>
      <c r="GO57" s="26"/>
      <c r="GP57" s="26">
        <f>T57</f>
        <v>47.4</v>
      </c>
      <c r="GQ57" s="26">
        <f>T57</f>
        <v>47.4</v>
      </c>
      <c r="GR57" s="26"/>
      <c r="GS57" s="26">
        <f>T57</f>
        <v>47.4</v>
      </c>
      <c r="GT57" s="26"/>
      <c r="GU57" s="26"/>
      <c r="GV57" s="26"/>
      <c r="GW57" s="26">
        <f>ROUND(Source!AG27*Source!I27,2)</f>
        <v>0</v>
      </c>
      <c r="GX57" s="26">
        <f>ROUND(Source!AJ27*Source!I27,2)</f>
        <v>0</v>
      </c>
      <c r="GY57" s="26"/>
      <c r="GZ57" s="26"/>
      <c r="HA57" s="26"/>
      <c r="HB57" s="26"/>
      <c r="HC57" s="26">
        <f>T57</f>
        <v>47.4</v>
      </c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x14ac:dyDescent="0.2">
      <c r="A58" s="111"/>
      <c r="B58" s="107"/>
      <c r="C58" s="107" t="s">
        <v>437</v>
      </c>
      <c r="D58" s="108"/>
      <c r="E58" s="109">
        <v>95</v>
      </c>
      <c r="F58" s="112" t="s">
        <v>438</v>
      </c>
      <c r="G58" s="110"/>
      <c r="H58" s="113">
        <f>ROUND((Source!AF27*Source!AV27+Source!AE27*Source!AV27)*(Source!FX27)/100,2)</f>
        <v>23.38</v>
      </c>
      <c r="I58" s="113">
        <f>T58</f>
        <v>140.28</v>
      </c>
      <c r="J58" s="115">
        <v>0.95</v>
      </c>
      <c r="K58" s="114">
        <f>U58</f>
        <v>1753.46</v>
      </c>
      <c r="O58" s="26"/>
      <c r="P58" s="26"/>
      <c r="Q58" s="26"/>
      <c r="R58" s="26"/>
      <c r="S58" s="26"/>
      <c r="T58" s="26">
        <f>ROUND((ROUND(Source!AF27*Source!AV27*Source!I27,2)+ROUND(Source!AE27*Source!AV27*Source!I27,2))*(Source!FX27)/100,2)</f>
        <v>140.28</v>
      </c>
      <c r="U58" s="26">
        <f>Source!X27</f>
        <v>1753.46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>
        <f>T58</f>
        <v>140.28</v>
      </c>
      <c r="GZ58" s="26"/>
      <c r="HA58" s="26"/>
      <c r="HB58" s="26"/>
      <c r="HC58" s="26">
        <f>T58</f>
        <v>140.28</v>
      </c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x14ac:dyDescent="0.2">
      <c r="A59" s="111"/>
      <c r="B59" s="107"/>
      <c r="C59" s="107" t="s">
        <v>439</v>
      </c>
      <c r="D59" s="108"/>
      <c r="E59" s="109">
        <v>65</v>
      </c>
      <c r="F59" s="112" t="s">
        <v>438</v>
      </c>
      <c r="G59" s="110"/>
      <c r="H59" s="113">
        <f>ROUND((Source!AF27*Source!AV27+Source!AE27*Source!AV27)*(Source!FY27)/100,2)</f>
        <v>16</v>
      </c>
      <c r="I59" s="113">
        <f>T59</f>
        <v>95.98</v>
      </c>
      <c r="J59" s="115">
        <v>0.65</v>
      </c>
      <c r="K59" s="114">
        <f>U59</f>
        <v>1199.74</v>
      </c>
      <c r="O59" s="26"/>
      <c r="P59" s="26"/>
      <c r="Q59" s="26"/>
      <c r="R59" s="26"/>
      <c r="S59" s="26"/>
      <c r="T59" s="26">
        <f>ROUND((ROUND(Source!AF27*Source!AV27*Source!I27,2)+ROUND(Source!AE27*Source!AV27*Source!I27,2))*(Source!FY27)/100,2)</f>
        <v>95.98</v>
      </c>
      <c r="U59" s="26">
        <f>Source!Y27</f>
        <v>1199.74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>
        <f>T59</f>
        <v>95.98</v>
      </c>
      <c r="HA59" s="26"/>
      <c r="HB59" s="26"/>
      <c r="HC59" s="26">
        <f>T59</f>
        <v>95.98</v>
      </c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</row>
    <row r="60" spans="1:255" ht="13.5" thickBot="1" x14ac:dyDescent="0.25">
      <c r="A60" s="124"/>
      <c r="B60" s="125"/>
      <c r="C60" s="125" t="s">
        <v>440</v>
      </c>
      <c r="D60" s="126" t="s">
        <v>441</v>
      </c>
      <c r="E60" s="127">
        <v>2.4300000000000002</v>
      </c>
      <c r="F60" s="128"/>
      <c r="G60" s="129"/>
      <c r="H60" s="128">
        <f>ROUND(Source!AH27,2)</f>
        <v>2.4300000000000002</v>
      </c>
      <c r="I60" s="130">
        <f>Source!U27</f>
        <v>14.580000000000002</v>
      </c>
      <c r="J60" s="128"/>
      <c r="K60" s="13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255" x14ac:dyDescent="0.2">
      <c r="A61" s="123"/>
      <c r="B61" s="122"/>
      <c r="C61" s="122"/>
      <c r="D61" s="122"/>
      <c r="E61" s="122"/>
      <c r="F61" s="122"/>
      <c r="G61" s="122"/>
      <c r="H61" s="132">
        <f>R61</f>
        <v>482.38</v>
      </c>
      <c r="I61" s="133"/>
      <c r="J61" s="132">
        <f>S61</f>
        <v>6029.7</v>
      </c>
      <c r="K61" s="134"/>
      <c r="O61" s="26"/>
      <c r="P61" s="26"/>
      <c r="Q61" s="26"/>
      <c r="R61" s="26">
        <f>SUM(T53:T60)</f>
        <v>482.38</v>
      </c>
      <c r="S61" s="26">
        <f>SUM(U53:U60)</f>
        <v>6029.7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>
        <f>R61</f>
        <v>482.38</v>
      </c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ht="36" x14ac:dyDescent="0.2">
      <c r="A62" s="135">
        <v>3</v>
      </c>
      <c r="B62" s="143" t="s">
        <v>30</v>
      </c>
      <c r="C62" s="136" t="s">
        <v>31</v>
      </c>
      <c r="D62" s="137" t="s">
        <v>24</v>
      </c>
      <c r="E62" s="138">
        <v>6</v>
      </c>
      <c r="F62" s="139">
        <f>Source!AK29</f>
        <v>54.55</v>
      </c>
      <c r="G62" s="144" t="s">
        <v>3</v>
      </c>
      <c r="H62" s="139">
        <f>Source!AB29</f>
        <v>54.55</v>
      </c>
      <c r="I62" s="139"/>
      <c r="J62" s="142"/>
      <c r="K62" s="140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x14ac:dyDescent="0.2">
      <c r="A63" s="103"/>
      <c r="B63" s="98"/>
      <c r="C63" s="98" t="s">
        <v>436</v>
      </c>
      <c r="D63" s="99"/>
      <c r="E63" s="100"/>
      <c r="F63" s="104">
        <v>54.55</v>
      </c>
      <c r="G63" s="101"/>
      <c r="H63" s="104">
        <f>Source!AF29</f>
        <v>54.55</v>
      </c>
      <c r="I63" s="104">
        <f>T63</f>
        <v>327.3</v>
      </c>
      <c r="J63" s="102">
        <v>18.3</v>
      </c>
      <c r="K63" s="105">
        <f>U63</f>
        <v>5989.59</v>
      </c>
      <c r="O63" s="26"/>
      <c r="P63" s="26"/>
      <c r="Q63" s="26"/>
      <c r="R63" s="26"/>
      <c r="S63" s="26"/>
      <c r="T63" s="26">
        <f>ROUND(Source!AF29*Source!AV29*Source!I29,2)</f>
        <v>327.3</v>
      </c>
      <c r="U63" s="26">
        <f>Source!S29</f>
        <v>5989.59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>
        <f>T63</f>
        <v>327.3</v>
      </c>
      <c r="GK63" s="26">
        <f>T63</f>
        <v>327.3</v>
      </c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>
        <f>T63</f>
        <v>327.3</v>
      </c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x14ac:dyDescent="0.2">
      <c r="A64" s="111"/>
      <c r="B64" s="107"/>
      <c r="C64" s="107" t="s">
        <v>437</v>
      </c>
      <c r="D64" s="108"/>
      <c r="E64" s="109">
        <v>65</v>
      </c>
      <c r="F64" s="112" t="s">
        <v>438</v>
      </c>
      <c r="G64" s="110"/>
      <c r="H64" s="113">
        <f>ROUND((Source!AF29*Source!AV29+Source!AE29*Source!AV29)*(Source!FX29)/100,2)</f>
        <v>35.46</v>
      </c>
      <c r="I64" s="113">
        <f>T64</f>
        <v>212.75</v>
      </c>
      <c r="J64" s="115">
        <v>0.65</v>
      </c>
      <c r="K64" s="114">
        <f>U64</f>
        <v>3893.23</v>
      </c>
      <c r="O64" s="26"/>
      <c r="P64" s="26"/>
      <c r="Q64" s="26"/>
      <c r="R64" s="26"/>
      <c r="S64" s="26"/>
      <c r="T64" s="26">
        <f>ROUND((ROUND(Source!AF29*Source!AV29*Source!I29,2)+ROUND(Source!AE29*Source!AV29*Source!I29,2))*(Source!FX29)/100,2)</f>
        <v>212.75</v>
      </c>
      <c r="U64" s="26">
        <f>Source!X29</f>
        <v>3893.23</v>
      </c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>
        <f>T64</f>
        <v>212.75</v>
      </c>
      <c r="GZ64" s="26"/>
      <c r="HA64" s="26"/>
      <c r="HB64" s="26"/>
      <c r="HC64" s="26"/>
      <c r="HD64" s="26"/>
      <c r="HE64" s="26">
        <f>T64</f>
        <v>212.75</v>
      </c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</row>
    <row r="65" spans="1:255" x14ac:dyDescent="0.2">
      <c r="A65" s="111"/>
      <c r="B65" s="107"/>
      <c r="C65" s="107" t="s">
        <v>439</v>
      </c>
      <c r="D65" s="108"/>
      <c r="E65" s="109">
        <v>40</v>
      </c>
      <c r="F65" s="112" t="s">
        <v>438</v>
      </c>
      <c r="G65" s="110"/>
      <c r="H65" s="113">
        <f>ROUND((Source!AF29*Source!AV29+Source!AE29*Source!AV29)*(Source!FY29)/100,2)</f>
        <v>21.82</v>
      </c>
      <c r="I65" s="113">
        <f>T65</f>
        <v>130.91999999999999</v>
      </c>
      <c r="J65" s="115">
        <v>0.4</v>
      </c>
      <c r="K65" s="114">
        <f>U65</f>
        <v>2395.84</v>
      </c>
      <c r="O65" s="26"/>
      <c r="P65" s="26"/>
      <c r="Q65" s="26"/>
      <c r="R65" s="26"/>
      <c r="S65" s="26"/>
      <c r="T65" s="26">
        <f>ROUND((ROUND(Source!AF29*Source!AV29*Source!I29,2)+ROUND(Source!AE29*Source!AV29*Source!I29,2))*(Source!FY29)/100,2)</f>
        <v>130.91999999999999</v>
      </c>
      <c r="U65" s="26">
        <f>Source!Y29</f>
        <v>2395.84</v>
      </c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>
        <f>T65</f>
        <v>130.91999999999999</v>
      </c>
      <c r="HA65" s="26"/>
      <c r="HB65" s="26"/>
      <c r="HC65" s="26"/>
      <c r="HD65" s="26"/>
      <c r="HE65" s="26">
        <f>T65</f>
        <v>130.91999999999999</v>
      </c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</row>
    <row r="66" spans="1:255" ht="13.5" thickBot="1" x14ac:dyDescent="0.25">
      <c r="A66" s="124"/>
      <c r="B66" s="125"/>
      <c r="C66" s="125" t="s">
        <v>440</v>
      </c>
      <c r="D66" s="126" t="s">
        <v>441</v>
      </c>
      <c r="E66" s="127">
        <v>4.5</v>
      </c>
      <c r="F66" s="128"/>
      <c r="G66" s="129"/>
      <c r="H66" s="128">
        <f>ROUND(Source!AH29,2)</f>
        <v>4.5</v>
      </c>
      <c r="I66" s="130">
        <f>Source!U29</f>
        <v>27</v>
      </c>
      <c r="J66" s="128"/>
      <c r="K66" s="13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</row>
    <row r="67" spans="1:255" x14ac:dyDescent="0.2">
      <c r="A67" s="123"/>
      <c r="B67" s="122"/>
      <c r="C67" s="122"/>
      <c r="D67" s="122"/>
      <c r="E67" s="122"/>
      <c r="F67" s="122"/>
      <c r="G67" s="122"/>
      <c r="H67" s="132">
        <f>R67</f>
        <v>670.96999999999991</v>
      </c>
      <c r="I67" s="133"/>
      <c r="J67" s="132">
        <f>S67</f>
        <v>12278.66</v>
      </c>
      <c r="K67" s="134"/>
      <c r="O67" s="26"/>
      <c r="P67" s="26"/>
      <c r="Q67" s="26"/>
      <c r="R67" s="26">
        <f>SUM(T62:T66)</f>
        <v>670.96999999999991</v>
      </c>
      <c r="S67" s="26">
        <f>SUM(U62:U66)</f>
        <v>12278.66</v>
      </c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>
        <f>R67</f>
        <v>670.96999999999991</v>
      </c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spans="1:255" ht="24" x14ac:dyDescent="0.2">
      <c r="A68" s="135">
        <v>4</v>
      </c>
      <c r="B68" s="143" t="s">
        <v>37</v>
      </c>
      <c r="C68" s="136" t="s">
        <v>38</v>
      </c>
      <c r="D68" s="137" t="s">
        <v>39</v>
      </c>
      <c r="E68" s="138">
        <v>2</v>
      </c>
      <c r="F68" s="139">
        <f>Source!AK31</f>
        <v>942.53</v>
      </c>
      <c r="G68" s="144" t="s">
        <v>3</v>
      </c>
      <c r="H68" s="139">
        <f>Source!AB31</f>
        <v>942.53</v>
      </c>
      <c r="I68" s="139"/>
      <c r="J68" s="142"/>
      <c r="K68" s="140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x14ac:dyDescent="0.2">
      <c r="A69" s="103"/>
      <c r="B69" s="98"/>
      <c r="C69" s="98" t="s">
        <v>436</v>
      </c>
      <c r="D69" s="99"/>
      <c r="E69" s="100"/>
      <c r="F69" s="104">
        <v>186.63</v>
      </c>
      <c r="G69" s="101"/>
      <c r="H69" s="104">
        <f>Source!AF31</f>
        <v>186.63</v>
      </c>
      <c r="I69" s="104">
        <f>T69</f>
        <v>373.26</v>
      </c>
      <c r="J69" s="102">
        <v>12.5</v>
      </c>
      <c r="K69" s="105">
        <f>U69</f>
        <v>4665.75</v>
      </c>
      <c r="O69" s="26"/>
      <c r="P69" s="26"/>
      <c r="Q69" s="26"/>
      <c r="R69" s="26"/>
      <c r="S69" s="26"/>
      <c r="T69" s="26">
        <f>ROUND(Source!AF31*Source!AV31*Source!I31,2)</f>
        <v>373.26</v>
      </c>
      <c r="U69" s="26">
        <f>Source!S31</f>
        <v>4665.75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>
        <f>T69</f>
        <v>373.26</v>
      </c>
      <c r="GK69" s="26">
        <f>T69</f>
        <v>373.26</v>
      </c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>
        <f>T69</f>
        <v>373.26</v>
      </c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spans="1:255" x14ac:dyDescent="0.2">
      <c r="A70" s="120"/>
      <c r="B70" s="116"/>
      <c r="C70" s="116" t="s">
        <v>442</v>
      </c>
      <c r="D70" s="117"/>
      <c r="E70" s="118"/>
      <c r="F70" s="121">
        <v>382.84</v>
      </c>
      <c r="G70" s="119"/>
      <c r="H70" s="121">
        <f>Source!AD31</f>
        <v>382.84</v>
      </c>
      <c r="I70" s="121">
        <f>T70</f>
        <v>765.68</v>
      </c>
      <c r="J70" s="145">
        <v>12.5</v>
      </c>
      <c r="K70" s="146">
        <f>U70</f>
        <v>9571</v>
      </c>
      <c r="O70" s="26"/>
      <c r="P70" s="26"/>
      <c r="Q70" s="26"/>
      <c r="R70" s="26"/>
      <c r="S70" s="26"/>
      <c r="T70" s="26">
        <f>ROUND(Source!AD31*Source!AV31*Source!I31,2)</f>
        <v>765.68</v>
      </c>
      <c r="U70" s="26">
        <f>Source!Q31</f>
        <v>9571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>
        <f>T70</f>
        <v>765.68</v>
      </c>
      <c r="GK70" s="26"/>
      <c r="GL70" s="26">
        <f>T70</f>
        <v>765.68</v>
      </c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>
        <f>T70</f>
        <v>765.68</v>
      </c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</row>
    <row r="71" spans="1:255" x14ac:dyDescent="0.2">
      <c r="A71" s="120"/>
      <c r="B71" s="116"/>
      <c r="C71" s="116" t="s">
        <v>443</v>
      </c>
      <c r="D71" s="117"/>
      <c r="E71" s="118"/>
      <c r="F71" s="121">
        <v>45.71</v>
      </c>
      <c r="G71" s="119"/>
      <c r="H71" s="121">
        <f>Source!AE31</f>
        <v>45.71</v>
      </c>
      <c r="I71" s="121">
        <f>GM71</f>
        <v>91.42</v>
      </c>
      <c r="J71" s="145">
        <v>12.5</v>
      </c>
      <c r="K71" s="146">
        <f>Source!R31</f>
        <v>1142.75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>
        <f>ROUND(Source!AE31*Source!AV31*Source!I31,2)</f>
        <v>91.42</v>
      </c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</row>
    <row r="72" spans="1:255" x14ac:dyDescent="0.2">
      <c r="A72" s="120"/>
      <c r="B72" s="116"/>
      <c r="C72" s="116" t="s">
        <v>444</v>
      </c>
      <c r="D72" s="117"/>
      <c r="E72" s="118"/>
      <c r="F72" s="121">
        <v>373.06</v>
      </c>
      <c r="G72" s="119"/>
      <c r="H72" s="121">
        <f>Source!AC31</f>
        <v>373.06</v>
      </c>
      <c r="I72" s="121">
        <f>T72</f>
        <v>746.12</v>
      </c>
      <c r="J72" s="145">
        <v>12.5</v>
      </c>
      <c r="K72" s="146">
        <f>U72</f>
        <v>9326.5</v>
      </c>
      <c r="O72" s="26"/>
      <c r="P72" s="26"/>
      <c r="Q72" s="26"/>
      <c r="R72" s="26"/>
      <c r="S72" s="26"/>
      <c r="T72" s="26">
        <f>ROUND(Source!AC31*Source!AW31*Source!I31,2)</f>
        <v>746.12</v>
      </c>
      <c r="U72" s="26">
        <f>Source!P31</f>
        <v>9326.5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>
        <f>T72</f>
        <v>746.12</v>
      </c>
      <c r="GK72" s="26"/>
      <c r="GL72" s="26"/>
      <c r="GM72" s="26"/>
      <c r="GN72" s="26">
        <f>T72</f>
        <v>746.12</v>
      </c>
      <c r="GO72" s="26"/>
      <c r="GP72" s="26">
        <f>T72</f>
        <v>746.12</v>
      </c>
      <c r="GQ72" s="26">
        <f>T72</f>
        <v>746.12</v>
      </c>
      <c r="GR72" s="26"/>
      <c r="GS72" s="26">
        <f>T72</f>
        <v>746.12</v>
      </c>
      <c r="GT72" s="26"/>
      <c r="GU72" s="26"/>
      <c r="GV72" s="26"/>
      <c r="GW72" s="26">
        <f>ROUND(Source!AG31*Source!I31,2)</f>
        <v>0</v>
      </c>
      <c r="GX72" s="26">
        <f>ROUND(Source!AJ31*Source!I31,2)</f>
        <v>0</v>
      </c>
      <c r="GY72" s="26"/>
      <c r="GZ72" s="26"/>
      <c r="HA72" s="26"/>
      <c r="HB72" s="26"/>
      <c r="HC72" s="26">
        <f>T72</f>
        <v>746.12</v>
      </c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</row>
    <row r="73" spans="1:255" x14ac:dyDescent="0.2">
      <c r="A73" s="111"/>
      <c r="B73" s="107"/>
      <c r="C73" s="107" t="s">
        <v>437</v>
      </c>
      <c r="D73" s="108"/>
      <c r="E73" s="109">
        <v>95</v>
      </c>
      <c r="F73" s="112" t="s">
        <v>438</v>
      </c>
      <c r="G73" s="110"/>
      <c r="H73" s="113">
        <f>ROUND((Source!AF31*Source!AV31+Source!AE31*Source!AV31)*(Source!FX31)/100,2)</f>
        <v>220.72</v>
      </c>
      <c r="I73" s="113">
        <f>T73</f>
        <v>441.45</v>
      </c>
      <c r="J73" s="115">
        <v>0.95</v>
      </c>
      <c r="K73" s="114">
        <f>U73</f>
        <v>5518.08</v>
      </c>
      <c r="O73" s="26"/>
      <c r="P73" s="26"/>
      <c r="Q73" s="26"/>
      <c r="R73" s="26"/>
      <c r="S73" s="26"/>
      <c r="T73" s="26">
        <f>ROUND((ROUND(Source!AF31*Source!AV31*Source!I31,2)+ROUND(Source!AE31*Source!AV31*Source!I31,2))*(Source!FX31)/100,2)</f>
        <v>441.45</v>
      </c>
      <c r="U73" s="26">
        <f>Source!X31</f>
        <v>5518.08</v>
      </c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>
        <f>T73</f>
        <v>441.45</v>
      </c>
      <c r="GZ73" s="26"/>
      <c r="HA73" s="26"/>
      <c r="HB73" s="26"/>
      <c r="HC73" s="26">
        <f>T73</f>
        <v>441.45</v>
      </c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</row>
    <row r="74" spans="1:255" x14ac:dyDescent="0.2">
      <c r="A74" s="111"/>
      <c r="B74" s="107"/>
      <c r="C74" s="107" t="s">
        <v>439</v>
      </c>
      <c r="D74" s="108"/>
      <c r="E74" s="109">
        <v>65</v>
      </c>
      <c r="F74" s="112" t="s">
        <v>438</v>
      </c>
      <c r="G74" s="110"/>
      <c r="H74" s="113">
        <f>ROUND((Source!AF31*Source!AV31+Source!AE31*Source!AV31)*(Source!FY31)/100,2)</f>
        <v>151.02000000000001</v>
      </c>
      <c r="I74" s="113">
        <f>T74</f>
        <v>302.04000000000002</v>
      </c>
      <c r="J74" s="115">
        <v>0.65</v>
      </c>
      <c r="K74" s="114">
        <f>U74</f>
        <v>3775.53</v>
      </c>
      <c r="O74" s="26"/>
      <c r="P74" s="26"/>
      <c r="Q74" s="26"/>
      <c r="R74" s="26"/>
      <c r="S74" s="26"/>
      <c r="T74" s="26">
        <f>ROUND((ROUND(Source!AF31*Source!AV31*Source!I31,2)+ROUND(Source!AE31*Source!AV31*Source!I31,2))*(Source!FY31)/100,2)</f>
        <v>302.04000000000002</v>
      </c>
      <c r="U74" s="26">
        <f>Source!Y31</f>
        <v>3775.53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>
        <f>T74</f>
        <v>302.04000000000002</v>
      </c>
      <c r="HA74" s="26"/>
      <c r="HB74" s="26"/>
      <c r="HC74" s="26">
        <f>T74</f>
        <v>302.04000000000002</v>
      </c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</row>
    <row r="75" spans="1:255" ht="13.5" thickBot="1" x14ac:dyDescent="0.25">
      <c r="A75" s="124"/>
      <c r="B75" s="125"/>
      <c r="C75" s="125" t="s">
        <v>440</v>
      </c>
      <c r="D75" s="126" t="s">
        <v>441</v>
      </c>
      <c r="E75" s="127">
        <v>19.399999999999999</v>
      </c>
      <c r="F75" s="128"/>
      <c r="G75" s="129"/>
      <c r="H75" s="128">
        <f>ROUND(Source!AH31,2)</f>
        <v>19.399999999999999</v>
      </c>
      <c r="I75" s="130">
        <f>Source!U31</f>
        <v>38.799999999999997</v>
      </c>
      <c r="J75" s="128"/>
      <c r="K75" s="131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</row>
    <row r="76" spans="1:255" x14ac:dyDescent="0.2">
      <c r="A76" s="123"/>
      <c r="B76" s="122"/>
      <c r="C76" s="122"/>
      <c r="D76" s="122"/>
      <c r="E76" s="122"/>
      <c r="F76" s="122"/>
      <c r="G76" s="122"/>
      <c r="H76" s="132">
        <f>R76</f>
        <v>2628.5499999999997</v>
      </c>
      <c r="I76" s="133"/>
      <c r="J76" s="132">
        <f>S76</f>
        <v>32856.86</v>
      </c>
      <c r="K76" s="134"/>
      <c r="O76" s="26"/>
      <c r="P76" s="26"/>
      <c r="Q76" s="26"/>
      <c r="R76" s="26">
        <f>SUM(T68:T75)</f>
        <v>2628.5499999999997</v>
      </c>
      <c r="S76" s="26">
        <f>SUM(U68:U75)</f>
        <v>32856.86</v>
      </c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>
        <f>R76</f>
        <v>2628.5499999999997</v>
      </c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</row>
    <row r="77" spans="1:255" ht="36" x14ac:dyDescent="0.2">
      <c r="A77" s="135">
        <v>5</v>
      </c>
      <c r="B77" s="143" t="s">
        <v>42</v>
      </c>
      <c r="C77" s="136" t="s">
        <v>43</v>
      </c>
      <c r="D77" s="137" t="s">
        <v>24</v>
      </c>
      <c r="E77" s="138">
        <v>2</v>
      </c>
      <c r="F77" s="139">
        <f>Source!AK33</f>
        <v>174.56</v>
      </c>
      <c r="G77" s="144" t="s">
        <v>3</v>
      </c>
      <c r="H77" s="139">
        <f>Source!AB33</f>
        <v>174.56</v>
      </c>
      <c r="I77" s="139"/>
      <c r="J77" s="142"/>
      <c r="K77" s="140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</row>
    <row r="78" spans="1:255" x14ac:dyDescent="0.2">
      <c r="A78" s="103"/>
      <c r="B78" s="98"/>
      <c r="C78" s="98" t="s">
        <v>436</v>
      </c>
      <c r="D78" s="99"/>
      <c r="E78" s="100"/>
      <c r="F78" s="104">
        <v>174.56</v>
      </c>
      <c r="G78" s="101"/>
      <c r="H78" s="104">
        <f>Source!AF33</f>
        <v>174.56</v>
      </c>
      <c r="I78" s="104">
        <f>T78</f>
        <v>349.12</v>
      </c>
      <c r="J78" s="102">
        <v>18.3</v>
      </c>
      <c r="K78" s="105">
        <f>U78</f>
        <v>6388.9</v>
      </c>
      <c r="O78" s="26"/>
      <c r="P78" s="26"/>
      <c r="Q78" s="26"/>
      <c r="R78" s="26"/>
      <c r="S78" s="26"/>
      <c r="T78" s="26">
        <f>ROUND(Source!AF33*Source!AV33*Source!I33,2)</f>
        <v>349.12</v>
      </c>
      <c r="U78" s="26">
        <f>Source!S33</f>
        <v>6388.9</v>
      </c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>
        <f>T78</f>
        <v>349.12</v>
      </c>
      <c r="GK78" s="26">
        <f>T78</f>
        <v>349.12</v>
      </c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>
        <f>T78</f>
        <v>349.12</v>
      </c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spans="1:255" x14ac:dyDescent="0.2">
      <c r="A79" s="111"/>
      <c r="B79" s="107"/>
      <c r="C79" s="107" t="s">
        <v>437</v>
      </c>
      <c r="D79" s="108"/>
      <c r="E79" s="109">
        <v>65</v>
      </c>
      <c r="F79" s="112" t="s">
        <v>438</v>
      </c>
      <c r="G79" s="110"/>
      <c r="H79" s="113">
        <f>ROUND((Source!AF33*Source!AV33+Source!AE33*Source!AV33)*(Source!FX33)/100,2)</f>
        <v>113.46</v>
      </c>
      <c r="I79" s="113">
        <f>T79</f>
        <v>226.93</v>
      </c>
      <c r="J79" s="115">
        <v>0.65</v>
      </c>
      <c r="K79" s="114">
        <f>U79</f>
        <v>4152.79</v>
      </c>
      <c r="O79" s="26"/>
      <c r="P79" s="26"/>
      <c r="Q79" s="26"/>
      <c r="R79" s="26"/>
      <c r="S79" s="26"/>
      <c r="T79" s="26">
        <f>ROUND((ROUND(Source!AF33*Source!AV33*Source!I33,2)+ROUND(Source!AE33*Source!AV33*Source!I33,2))*(Source!FX33)/100,2)</f>
        <v>226.93</v>
      </c>
      <c r="U79" s="26">
        <f>Source!X33</f>
        <v>4152.79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>
        <f>T79</f>
        <v>226.93</v>
      </c>
      <c r="GZ79" s="26"/>
      <c r="HA79" s="26"/>
      <c r="HB79" s="26"/>
      <c r="HC79" s="26"/>
      <c r="HD79" s="26"/>
      <c r="HE79" s="26">
        <f>T79</f>
        <v>226.93</v>
      </c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x14ac:dyDescent="0.2">
      <c r="A80" s="111"/>
      <c r="B80" s="107"/>
      <c r="C80" s="107" t="s">
        <v>439</v>
      </c>
      <c r="D80" s="108"/>
      <c r="E80" s="109">
        <v>40</v>
      </c>
      <c r="F80" s="112" t="s">
        <v>438</v>
      </c>
      <c r="G80" s="110"/>
      <c r="H80" s="113">
        <f>ROUND((Source!AF33*Source!AV33+Source!AE33*Source!AV33)*(Source!FY33)/100,2)</f>
        <v>69.819999999999993</v>
      </c>
      <c r="I80" s="113">
        <f>T80</f>
        <v>139.65</v>
      </c>
      <c r="J80" s="115">
        <v>0.4</v>
      </c>
      <c r="K80" s="114">
        <f>U80</f>
        <v>2555.56</v>
      </c>
      <c r="O80" s="26"/>
      <c r="P80" s="26"/>
      <c r="Q80" s="26"/>
      <c r="R80" s="26"/>
      <c r="S80" s="26"/>
      <c r="T80" s="26">
        <f>ROUND((ROUND(Source!AF33*Source!AV33*Source!I33,2)+ROUND(Source!AE33*Source!AV33*Source!I33,2))*(Source!FY33)/100,2)</f>
        <v>139.65</v>
      </c>
      <c r="U80" s="26">
        <f>Source!Y33</f>
        <v>2555.56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>
        <f>T80</f>
        <v>139.65</v>
      </c>
      <c r="HA80" s="26"/>
      <c r="HB80" s="26"/>
      <c r="HC80" s="26"/>
      <c r="HD80" s="26"/>
      <c r="HE80" s="26">
        <f>T80</f>
        <v>139.65</v>
      </c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spans="1:255" ht="13.5" thickBot="1" x14ac:dyDescent="0.25">
      <c r="A81" s="124"/>
      <c r="B81" s="125"/>
      <c r="C81" s="125" t="s">
        <v>440</v>
      </c>
      <c r="D81" s="126" t="s">
        <v>441</v>
      </c>
      <c r="E81" s="127">
        <v>14.4</v>
      </c>
      <c r="F81" s="128"/>
      <c r="G81" s="129"/>
      <c r="H81" s="128">
        <f>ROUND(Source!AH33,2)</f>
        <v>14.4</v>
      </c>
      <c r="I81" s="130">
        <f>Source!U33</f>
        <v>28.8</v>
      </c>
      <c r="J81" s="128"/>
      <c r="K81" s="131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</row>
    <row r="82" spans="1:255" x14ac:dyDescent="0.2">
      <c r="A82" s="123"/>
      <c r="B82" s="122"/>
      <c r="C82" s="122"/>
      <c r="D82" s="122"/>
      <c r="E82" s="122"/>
      <c r="F82" s="122"/>
      <c r="G82" s="122"/>
      <c r="H82" s="132">
        <f>R82</f>
        <v>715.69999999999993</v>
      </c>
      <c r="I82" s="133"/>
      <c r="J82" s="132">
        <f>S82</f>
        <v>13097.249999999998</v>
      </c>
      <c r="K82" s="134"/>
      <c r="O82" s="26"/>
      <c r="P82" s="26"/>
      <c r="Q82" s="26"/>
      <c r="R82" s="26">
        <f>SUM(T77:T81)</f>
        <v>715.69999999999993</v>
      </c>
      <c r="S82" s="26">
        <f>SUM(U77:U81)</f>
        <v>13097.249999999998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>
        <f>R82</f>
        <v>715.69999999999993</v>
      </c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</row>
    <row r="83" spans="1:255" ht="24" x14ac:dyDescent="0.2">
      <c r="A83" s="135">
        <v>6</v>
      </c>
      <c r="B83" s="143" t="s">
        <v>46</v>
      </c>
      <c r="C83" s="136" t="s">
        <v>47</v>
      </c>
      <c r="D83" s="137" t="s">
        <v>24</v>
      </c>
      <c r="E83" s="138">
        <v>2</v>
      </c>
      <c r="F83" s="139">
        <f>Source!AK35</f>
        <v>9.23</v>
      </c>
      <c r="G83" s="144" t="s">
        <v>3</v>
      </c>
      <c r="H83" s="139">
        <f>Source!AB35</f>
        <v>9.23</v>
      </c>
      <c r="I83" s="139"/>
      <c r="J83" s="142"/>
      <c r="K83" s="140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</row>
    <row r="84" spans="1:255" x14ac:dyDescent="0.2">
      <c r="A84" s="103"/>
      <c r="B84" s="98"/>
      <c r="C84" s="98" t="s">
        <v>436</v>
      </c>
      <c r="D84" s="99"/>
      <c r="E84" s="100"/>
      <c r="F84" s="104">
        <v>6.94</v>
      </c>
      <c r="G84" s="101"/>
      <c r="H84" s="104">
        <f>Source!AF35</f>
        <v>6.94</v>
      </c>
      <c r="I84" s="104">
        <f>T84</f>
        <v>13.88</v>
      </c>
      <c r="J84" s="102">
        <v>12.5</v>
      </c>
      <c r="K84" s="105">
        <f>U84</f>
        <v>173.5</v>
      </c>
      <c r="O84" s="26"/>
      <c r="P84" s="26"/>
      <c r="Q84" s="26"/>
      <c r="R84" s="26"/>
      <c r="S84" s="26"/>
      <c r="T84" s="26">
        <f>ROUND(Source!AF35*Source!AV35*Source!I35,2)</f>
        <v>13.88</v>
      </c>
      <c r="U84" s="26">
        <f>Source!S35</f>
        <v>173.5</v>
      </c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>
        <f>T84</f>
        <v>13.88</v>
      </c>
      <c r="GK84" s="26">
        <f>T84</f>
        <v>13.88</v>
      </c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>
        <f>T84</f>
        <v>13.88</v>
      </c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</row>
    <row r="85" spans="1:255" x14ac:dyDescent="0.2">
      <c r="A85" s="120"/>
      <c r="B85" s="116"/>
      <c r="C85" s="116" t="s">
        <v>442</v>
      </c>
      <c r="D85" s="117"/>
      <c r="E85" s="118"/>
      <c r="F85" s="121">
        <v>1.78</v>
      </c>
      <c r="G85" s="119"/>
      <c r="H85" s="121">
        <f>Source!AD35</f>
        <v>1.78</v>
      </c>
      <c r="I85" s="121">
        <f>T85</f>
        <v>3.56</v>
      </c>
      <c r="J85" s="145">
        <v>12.5</v>
      </c>
      <c r="K85" s="146">
        <f>U85</f>
        <v>44.5</v>
      </c>
      <c r="O85" s="26"/>
      <c r="P85" s="26"/>
      <c r="Q85" s="26"/>
      <c r="R85" s="26"/>
      <c r="S85" s="26"/>
      <c r="T85" s="26">
        <f>ROUND(Source!AD35*Source!AV35*Source!I35,2)</f>
        <v>3.56</v>
      </c>
      <c r="U85" s="26">
        <f>Source!Q35</f>
        <v>44.5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>
        <f>T85</f>
        <v>3.56</v>
      </c>
      <c r="GK85" s="26"/>
      <c r="GL85" s="26">
        <f>T85</f>
        <v>3.56</v>
      </c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>
        <f>T85</f>
        <v>3.56</v>
      </c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</row>
    <row r="86" spans="1:255" x14ac:dyDescent="0.2">
      <c r="A86" s="120"/>
      <c r="B86" s="116"/>
      <c r="C86" s="116" t="s">
        <v>443</v>
      </c>
      <c r="D86" s="117"/>
      <c r="E86" s="118"/>
      <c r="F86" s="121">
        <v>0.26</v>
      </c>
      <c r="G86" s="119"/>
      <c r="H86" s="121">
        <f>Source!AE35</f>
        <v>0.26</v>
      </c>
      <c r="I86" s="121">
        <f>GM86</f>
        <v>0.52</v>
      </c>
      <c r="J86" s="145">
        <v>12.5</v>
      </c>
      <c r="K86" s="146">
        <f>Source!R35</f>
        <v>6.5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>
        <f>ROUND(Source!AE35*Source!AV35*Source!I35,2)</f>
        <v>0.52</v>
      </c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</row>
    <row r="87" spans="1:255" x14ac:dyDescent="0.2">
      <c r="A87" s="120"/>
      <c r="B87" s="116"/>
      <c r="C87" s="116" t="s">
        <v>444</v>
      </c>
      <c r="D87" s="117"/>
      <c r="E87" s="118"/>
      <c r="F87" s="121">
        <v>0.51</v>
      </c>
      <c r="G87" s="119"/>
      <c r="H87" s="121">
        <f>Source!AC35</f>
        <v>0.51</v>
      </c>
      <c r="I87" s="121">
        <f>T87</f>
        <v>1.02</v>
      </c>
      <c r="J87" s="145">
        <v>12.5</v>
      </c>
      <c r="K87" s="146">
        <f>U87</f>
        <v>12.75</v>
      </c>
      <c r="O87" s="26"/>
      <c r="P87" s="26"/>
      <c r="Q87" s="26"/>
      <c r="R87" s="26"/>
      <c r="S87" s="26"/>
      <c r="T87" s="26">
        <f>ROUND(Source!AC35*Source!AW35*Source!I35,2)</f>
        <v>1.02</v>
      </c>
      <c r="U87" s="26">
        <f>Source!P35</f>
        <v>12.75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>
        <f>T87</f>
        <v>1.02</v>
      </c>
      <c r="GK87" s="26"/>
      <c r="GL87" s="26"/>
      <c r="GM87" s="26"/>
      <c r="GN87" s="26">
        <f>T87</f>
        <v>1.02</v>
      </c>
      <c r="GO87" s="26"/>
      <c r="GP87" s="26">
        <f>T87</f>
        <v>1.02</v>
      </c>
      <c r="GQ87" s="26">
        <f>T87</f>
        <v>1.02</v>
      </c>
      <c r="GR87" s="26"/>
      <c r="GS87" s="26">
        <f>T87</f>
        <v>1.02</v>
      </c>
      <c r="GT87" s="26"/>
      <c r="GU87" s="26"/>
      <c r="GV87" s="26"/>
      <c r="GW87" s="26">
        <f>ROUND(Source!AG35*Source!I35,2)</f>
        <v>0</v>
      </c>
      <c r="GX87" s="26">
        <f>ROUND(Source!AJ35*Source!I35,2)</f>
        <v>0</v>
      </c>
      <c r="GY87" s="26"/>
      <c r="GZ87" s="26"/>
      <c r="HA87" s="26"/>
      <c r="HB87" s="26"/>
      <c r="HC87" s="26">
        <f>T87</f>
        <v>1.02</v>
      </c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</row>
    <row r="88" spans="1:255" x14ac:dyDescent="0.2">
      <c r="A88" s="111"/>
      <c r="B88" s="107"/>
      <c r="C88" s="107" t="s">
        <v>437</v>
      </c>
      <c r="D88" s="108"/>
      <c r="E88" s="109">
        <v>95</v>
      </c>
      <c r="F88" s="112" t="s">
        <v>438</v>
      </c>
      <c r="G88" s="110"/>
      <c r="H88" s="113">
        <f>ROUND((Source!AF35*Source!AV35+Source!AE35*Source!AV35)*(Source!FX35)/100,2)</f>
        <v>6.84</v>
      </c>
      <c r="I88" s="113">
        <f>T88</f>
        <v>13.68</v>
      </c>
      <c r="J88" s="115">
        <v>0.95</v>
      </c>
      <c r="K88" s="114">
        <f>U88</f>
        <v>171</v>
      </c>
      <c r="O88" s="26"/>
      <c r="P88" s="26"/>
      <c r="Q88" s="26"/>
      <c r="R88" s="26"/>
      <c r="S88" s="26"/>
      <c r="T88" s="26">
        <f>ROUND((ROUND(Source!AF35*Source!AV35*Source!I35,2)+ROUND(Source!AE35*Source!AV35*Source!I35,2))*(Source!FX35)/100,2)</f>
        <v>13.68</v>
      </c>
      <c r="U88" s="26">
        <f>Source!X35</f>
        <v>171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>
        <f>T88</f>
        <v>13.68</v>
      </c>
      <c r="GZ88" s="26"/>
      <c r="HA88" s="26"/>
      <c r="HB88" s="26"/>
      <c r="HC88" s="26">
        <f>T88</f>
        <v>13.68</v>
      </c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</row>
    <row r="89" spans="1:255" x14ac:dyDescent="0.2">
      <c r="A89" s="111"/>
      <c r="B89" s="107"/>
      <c r="C89" s="107" t="s">
        <v>439</v>
      </c>
      <c r="D89" s="108"/>
      <c r="E89" s="109">
        <v>65</v>
      </c>
      <c r="F89" s="112" t="s">
        <v>438</v>
      </c>
      <c r="G89" s="110"/>
      <c r="H89" s="113">
        <f>ROUND((Source!AF35*Source!AV35+Source!AE35*Source!AV35)*(Source!FY35)/100,2)</f>
        <v>4.68</v>
      </c>
      <c r="I89" s="113">
        <f>T89</f>
        <v>9.36</v>
      </c>
      <c r="J89" s="115">
        <v>0.65</v>
      </c>
      <c r="K89" s="114">
        <f>U89</f>
        <v>117</v>
      </c>
      <c r="O89" s="26"/>
      <c r="P89" s="26"/>
      <c r="Q89" s="26"/>
      <c r="R89" s="26"/>
      <c r="S89" s="26"/>
      <c r="T89" s="26">
        <f>ROUND((ROUND(Source!AF35*Source!AV35*Source!I35,2)+ROUND(Source!AE35*Source!AV35*Source!I35,2))*(Source!FY35)/100,2)</f>
        <v>9.36</v>
      </c>
      <c r="U89" s="26">
        <f>Source!Y35</f>
        <v>117</v>
      </c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>
        <f>T89</f>
        <v>9.36</v>
      </c>
      <c r="HA89" s="26"/>
      <c r="HB89" s="26"/>
      <c r="HC89" s="26">
        <f>T89</f>
        <v>9.36</v>
      </c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</row>
    <row r="90" spans="1:255" ht="13.5" thickBot="1" x14ac:dyDescent="0.25">
      <c r="A90" s="124"/>
      <c r="B90" s="125"/>
      <c r="C90" s="125" t="s">
        <v>440</v>
      </c>
      <c r="D90" s="126" t="s">
        <v>441</v>
      </c>
      <c r="E90" s="127">
        <v>0.7</v>
      </c>
      <c r="F90" s="128"/>
      <c r="G90" s="129"/>
      <c r="H90" s="128">
        <f>ROUND(Source!AH35,2)</f>
        <v>0.7</v>
      </c>
      <c r="I90" s="130">
        <f>Source!U35</f>
        <v>1.4</v>
      </c>
      <c r="J90" s="128"/>
      <c r="K90" s="131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</row>
    <row r="91" spans="1:255" x14ac:dyDescent="0.2">
      <c r="A91" s="123"/>
      <c r="B91" s="122"/>
      <c r="C91" s="122"/>
      <c r="D91" s="122"/>
      <c r="E91" s="122"/>
      <c r="F91" s="122"/>
      <c r="G91" s="122"/>
      <c r="H91" s="132">
        <f>R91</f>
        <v>41.5</v>
      </c>
      <c r="I91" s="133"/>
      <c r="J91" s="132">
        <f>S91</f>
        <v>518.75</v>
      </c>
      <c r="K91" s="134"/>
      <c r="O91" s="26"/>
      <c r="P91" s="26"/>
      <c r="Q91" s="26"/>
      <c r="R91" s="26">
        <f>SUM(T83:T90)</f>
        <v>41.5</v>
      </c>
      <c r="S91" s="26">
        <f>SUM(U83:U90)</f>
        <v>518.75</v>
      </c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>
        <f>R91</f>
        <v>41.5</v>
      </c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</row>
    <row r="92" spans="1:255" ht="24" x14ac:dyDescent="0.2">
      <c r="A92" s="135">
        <v>7</v>
      </c>
      <c r="B92" s="143" t="s">
        <v>50</v>
      </c>
      <c r="C92" s="136" t="s">
        <v>51</v>
      </c>
      <c r="D92" s="137" t="s">
        <v>52</v>
      </c>
      <c r="E92" s="138">
        <v>0.08</v>
      </c>
      <c r="F92" s="139">
        <f>Source!AK37</f>
        <v>117.17</v>
      </c>
      <c r="G92" s="144" t="s">
        <v>3</v>
      </c>
      <c r="H92" s="139">
        <f>Source!AB37</f>
        <v>117.17</v>
      </c>
      <c r="I92" s="139"/>
      <c r="J92" s="142"/>
      <c r="K92" s="140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</row>
    <row r="93" spans="1:255" x14ac:dyDescent="0.2">
      <c r="A93" s="103"/>
      <c r="B93" s="98"/>
      <c r="C93" s="98" t="s">
        <v>436</v>
      </c>
      <c r="D93" s="99"/>
      <c r="E93" s="100"/>
      <c r="F93" s="104">
        <v>102.8</v>
      </c>
      <c r="G93" s="101"/>
      <c r="H93" s="104">
        <f>Source!AF37</f>
        <v>102.8</v>
      </c>
      <c r="I93" s="104">
        <f>T93</f>
        <v>8.2200000000000006</v>
      </c>
      <c r="J93" s="102">
        <v>12.5</v>
      </c>
      <c r="K93" s="105">
        <f>U93</f>
        <v>102.8</v>
      </c>
      <c r="O93" s="26"/>
      <c r="P93" s="26"/>
      <c r="Q93" s="26"/>
      <c r="R93" s="26"/>
      <c r="S93" s="26"/>
      <c r="T93" s="26">
        <f>ROUND(Source!AF37*Source!AV37*Source!I37,2)</f>
        <v>8.2200000000000006</v>
      </c>
      <c r="U93" s="26">
        <f>Source!S37</f>
        <v>102.8</v>
      </c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>
        <f>T93</f>
        <v>8.2200000000000006</v>
      </c>
      <c r="GK93" s="26">
        <f>T93</f>
        <v>8.2200000000000006</v>
      </c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>
        <f>T93</f>
        <v>8.2200000000000006</v>
      </c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</row>
    <row r="94" spans="1:255" x14ac:dyDescent="0.2">
      <c r="A94" s="120"/>
      <c r="B94" s="116"/>
      <c r="C94" s="116" t="s">
        <v>444</v>
      </c>
      <c r="D94" s="117"/>
      <c r="E94" s="118"/>
      <c r="F94" s="121">
        <v>14.37</v>
      </c>
      <c r="G94" s="119"/>
      <c r="H94" s="121">
        <f>Source!AC37</f>
        <v>14.37</v>
      </c>
      <c r="I94" s="121">
        <f>T94</f>
        <v>1.1499999999999999</v>
      </c>
      <c r="J94" s="145">
        <v>12.5</v>
      </c>
      <c r="K94" s="146">
        <f>U94</f>
        <v>14.37</v>
      </c>
      <c r="O94" s="26"/>
      <c r="P94" s="26"/>
      <c r="Q94" s="26"/>
      <c r="R94" s="26"/>
      <c r="S94" s="26"/>
      <c r="T94" s="26">
        <f>ROUND(Source!AC37*Source!AW37*Source!I37,2)</f>
        <v>1.1499999999999999</v>
      </c>
      <c r="U94" s="26">
        <f>Source!P37</f>
        <v>14.37</v>
      </c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>
        <f>T94</f>
        <v>1.1499999999999999</v>
      </c>
      <c r="GK94" s="26"/>
      <c r="GL94" s="26"/>
      <c r="GM94" s="26"/>
      <c r="GN94" s="26">
        <f>T94</f>
        <v>1.1499999999999999</v>
      </c>
      <c r="GO94" s="26"/>
      <c r="GP94" s="26">
        <f>T94</f>
        <v>1.1499999999999999</v>
      </c>
      <c r="GQ94" s="26">
        <f>T94</f>
        <v>1.1499999999999999</v>
      </c>
      <c r="GR94" s="26"/>
      <c r="GS94" s="26">
        <f>T94</f>
        <v>1.1499999999999999</v>
      </c>
      <c r="GT94" s="26"/>
      <c r="GU94" s="26"/>
      <c r="GV94" s="26"/>
      <c r="GW94" s="26">
        <f>ROUND(Source!AG37*Source!I37,2)</f>
        <v>0</v>
      </c>
      <c r="GX94" s="26">
        <f>ROUND(Source!AJ37*Source!I37,2)</f>
        <v>0</v>
      </c>
      <c r="GY94" s="26"/>
      <c r="GZ94" s="26"/>
      <c r="HA94" s="26"/>
      <c r="HB94" s="26"/>
      <c r="HC94" s="26">
        <f>T94</f>
        <v>1.1499999999999999</v>
      </c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255" x14ac:dyDescent="0.2">
      <c r="A95" s="111"/>
      <c r="B95" s="107"/>
      <c r="C95" s="107" t="s">
        <v>437</v>
      </c>
      <c r="D95" s="108"/>
      <c r="E95" s="109">
        <v>80</v>
      </c>
      <c r="F95" s="112" t="s">
        <v>438</v>
      </c>
      <c r="G95" s="110"/>
      <c r="H95" s="113">
        <f>ROUND((Source!AF37*Source!AV37+Source!AE37*Source!AV37)*(Source!FX37)/100,2)</f>
        <v>82.24</v>
      </c>
      <c r="I95" s="113">
        <f>T95</f>
        <v>6.58</v>
      </c>
      <c r="J95" s="115">
        <v>0.8</v>
      </c>
      <c r="K95" s="114">
        <f>U95</f>
        <v>82.24</v>
      </c>
      <c r="O95" s="26"/>
      <c r="P95" s="26"/>
      <c r="Q95" s="26"/>
      <c r="R95" s="26"/>
      <c r="S95" s="26"/>
      <c r="T95" s="26">
        <f>ROUND((ROUND(Source!AF37*Source!AV37*Source!I37,2)+ROUND(Source!AE37*Source!AV37*Source!I37,2))*(Source!FX37)/100,2)</f>
        <v>6.58</v>
      </c>
      <c r="U95" s="26">
        <f>Source!X37</f>
        <v>82.24</v>
      </c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>
        <f>T95</f>
        <v>6.58</v>
      </c>
      <c r="GZ95" s="26"/>
      <c r="HA95" s="26"/>
      <c r="HB95" s="26"/>
      <c r="HC95" s="26">
        <f>T95</f>
        <v>6.58</v>
      </c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</row>
    <row r="96" spans="1:255" x14ac:dyDescent="0.2">
      <c r="A96" s="111"/>
      <c r="B96" s="107"/>
      <c r="C96" s="107" t="s">
        <v>439</v>
      </c>
      <c r="D96" s="108"/>
      <c r="E96" s="109">
        <v>60</v>
      </c>
      <c r="F96" s="112" t="s">
        <v>438</v>
      </c>
      <c r="G96" s="110"/>
      <c r="H96" s="113">
        <f>ROUND((Source!AF37*Source!AV37+Source!AE37*Source!AV37)*(Source!FY37)/100,2)</f>
        <v>61.68</v>
      </c>
      <c r="I96" s="113">
        <f>T96</f>
        <v>4.93</v>
      </c>
      <c r="J96" s="115">
        <v>0.6</v>
      </c>
      <c r="K96" s="114">
        <f>U96</f>
        <v>61.68</v>
      </c>
      <c r="O96" s="26"/>
      <c r="P96" s="26"/>
      <c r="Q96" s="26"/>
      <c r="R96" s="26"/>
      <c r="S96" s="26"/>
      <c r="T96" s="26">
        <f>ROUND((ROUND(Source!AF37*Source!AV37*Source!I37,2)+ROUND(Source!AE37*Source!AV37*Source!I37,2))*(Source!FY37)/100,2)</f>
        <v>4.93</v>
      </c>
      <c r="U96" s="26">
        <f>Source!Y37</f>
        <v>61.68</v>
      </c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>
        <f>T96</f>
        <v>4.93</v>
      </c>
      <c r="HA96" s="26"/>
      <c r="HB96" s="26"/>
      <c r="HC96" s="26">
        <f>T96</f>
        <v>4.93</v>
      </c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</row>
    <row r="97" spans="1:255" ht="13.5" thickBot="1" x14ac:dyDescent="0.25">
      <c r="A97" s="124"/>
      <c r="B97" s="125"/>
      <c r="C97" s="125" t="s">
        <v>440</v>
      </c>
      <c r="D97" s="126" t="s">
        <v>441</v>
      </c>
      <c r="E97" s="127">
        <v>9.27</v>
      </c>
      <c r="F97" s="128"/>
      <c r="G97" s="129"/>
      <c r="H97" s="128">
        <f>ROUND(Source!AH37,2)</f>
        <v>9.27</v>
      </c>
      <c r="I97" s="130">
        <f>Source!U37</f>
        <v>0.74159999999999993</v>
      </c>
      <c r="J97" s="128"/>
      <c r="K97" s="131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</row>
    <row r="98" spans="1:255" x14ac:dyDescent="0.2">
      <c r="A98" s="123"/>
      <c r="B98" s="122"/>
      <c r="C98" s="122"/>
      <c r="D98" s="122"/>
      <c r="E98" s="122"/>
      <c r="F98" s="122"/>
      <c r="G98" s="122"/>
      <c r="H98" s="132">
        <f>R98</f>
        <v>20.880000000000003</v>
      </c>
      <c r="I98" s="133"/>
      <c r="J98" s="132">
        <f>S98</f>
        <v>261.08999999999997</v>
      </c>
      <c r="K98" s="134"/>
      <c r="O98" s="26"/>
      <c r="P98" s="26"/>
      <c r="Q98" s="26"/>
      <c r="R98" s="26">
        <f>SUM(T92:T97)</f>
        <v>20.880000000000003</v>
      </c>
      <c r="S98" s="26">
        <f>SUM(U92:U97)</f>
        <v>261.08999999999997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>
        <f>R98</f>
        <v>20.880000000000003</v>
      </c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</row>
    <row r="99" spans="1:255" ht="24" x14ac:dyDescent="0.2">
      <c r="A99" s="135">
        <v>8</v>
      </c>
      <c r="B99" s="143" t="s">
        <v>57</v>
      </c>
      <c r="C99" s="136" t="s">
        <v>58</v>
      </c>
      <c r="D99" s="137" t="s">
        <v>16</v>
      </c>
      <c r="E99" s="138">
        <v>0.75</v>
      </c>
      <c r="F99" s="139">
        <f>Source!AK39</f>
        <v>94.199999999999989</v>
      </c>
      <c r="G99" s="144" t="s">
        <v>3</v>
      </c>
      <c r="H99" s="139">
        <f>Source!AB39</f>
        <v>94.2</v>
      </c>
      <c r="I99" s="139"/>
      <c r="J99" s="142"/>
      <c r="K99" s="140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x14ac:dyDescent="0.2">
      <c r="A100" s="103"/>
      <c r="B100" s="98"/>
      <c r="C100" s="98" t="s">
        <v>436</v>
      </c>
      <c r="D100" s="99"/>
      <c r="E100" s="100"/>
      <c r="F100" s="104">
        <v>92.35</v>
      </c>
      <c r="G100" s="101"/>
      <c r="H100" s="104">
        <f>Source!AF39</f>
        <v>92.35</v>
      </c>
      <c r="I100" s="104">
        <f>T100</f>
        <v>69.260000000000005</v>
      </c>
      <c r="J100" s="102">
        <v>12.5</v>
      </c>
      <c r="K100" s="105">
        <f>U100</f>
        <v>865.78</v>
      </c>
      <c r="O100" s="26"/>
      <c r="P100" s="26"/>
      <c r="Q100" s="26"/>
      <c r="R100" s="26"/>
      <c r="S100" s="26"/>
      <c r="T100" s="26">
        <f>ROUND(Source!AF39*Source!AV39*Source!I39,2)</f>
        <v>69.260000000000005</v>
      </c>
      <c r="U100" s="26">
        <f>Source!S39</f>
        <v>865.78</v>
      </c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>
        <f>T100</f>
        <v>69.260000000000005</v>
      </c>
      <c r="GK100" s="26">
        <f>T100</f>
        <v>69.260000000000005</v>
      </c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>
        <f>T100</f>
        <v>69.260000000000005</v>
      </c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x14ac:dyDescent="0.2">
      <c r="A101" s="120"/>
      <c r="B101" s="116"/>
      <c r="C101" s="116" t="s">
        <v>444</v>
      </c>
      <c r="D101" s="117"/>
      <c r="E101" s="118"/>
      <c r="F101" s="121">
        <v>1.85</v>
      </c>
      <c r="G101" s="119"/>
      <c r="H101" s="121">
        <f>Source!AC39</f>
        <v>1.85</v>
      </c>
      <c r="I101" s="121">
        <f>T101</f>
        <v>1.39</v>
      </c>
      <c r="J101" s="145">
        <v>12.5</v>
      </c>
      <c r="K101" s="146">
        <f>U101</f>
        <v>17.34</v>
      </c>
      <c r="O101" s="26"/>
      <c r="P101" s="26"/>
      <c r="Q101" s="26"/>
      <c r="R101" s="26"/>
      <c r="S101" s="26"/>
      <c r="T101" s="26">
        <f>ROUND(Source!AC39*Source!AW39*Source!I39,2)</f>
        <v>1.39</v>
      </c>
      <c r="U101" s="26">
        <f>Source!P39</f>
        <v>17.34</v>
      </c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>
        <f>T101</f>
        <v>1.39</v>
      </c>
      <c r="GK101" s="26"/>
      <c r="GL101" s="26"/>
      <c r="GM101" s="26"/>
      <c r="GN101" s="26">
        <f>T101</f>
        <v>1.39</v>
      </c>
      <c r="GO101" s="26"/>
      <c r="GP101" s="26">
        <f>T101</f>
        <v>1.39</v>
      </c>
      <c r="GQ101" s="26">
        <f>T101</f>
        <v>1.39</v>
      </c>
      <c r="GR101" s="26"/>
      <c r="GS101" s="26">
        <f>T101</f>
        <v>1.39</v>
      </c>
      <c r="GT101" s="26"/>
      <c r="GU101" s="26"/>
      <c r="GV101" s="26"/>
      <c r="GW101" s="26">
        <f>ROUND(Source!AG39*Source!I39,2)</f>
        <v>0</v>
      </c>
      <c r="GX101" s="26">
        <f>ROUND(Source!AJ39*Source!I39,2)</f>
        <v>0</v>
      </c>
      <c r="GY101" s="26"/>
      <c r="GZ101" s="26"/>
      <c r="HA101" s="26"/>
      <c r="HB101" s="26"/>
      <c r="HC101" s="26">
        <f>T101</f>
        <v>1.39</v>
      </c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</row>
    <row r="102" spans="1:255" x14ac:dyDescent="0.2">
      <c r="A102" s="111"/>
      <c r="B102" s="107"/>
      <c r="C102" s="107" t="s">
        <v>437</v>
      </c>
      <c r="D102" s="108"/>
      <c r="E102" s="109">
        <v>95</v>
      </c>
      <c r="F102" s="112" t="s">
        <v>438</v>
      </c>
      <c r="G102" s="110"/>
      <c r="H102" s="113">
        <f>ROUND((Source!AF39*Source!AV39+Source!AE39*Source!AV39)*(Source!FX39)/100,2)</f>
        <v>87.73</v>
      </c>
      <c r="I102" s="113">
        <f>T102</f>
        <v>65.8</v>
      </c>
      <c r="J102" s="115">
        <v>0.95</v>
      </c>
      <c r="K102" s="114">
        <f>U102</f>
        <v>822.49</v>
      </c>
      <c r="O102" s="26"/>
      <c r="P102" s="26"/>
      <c r="Q102" s="26"/>
      <c r="R102" s="26"/>
      <c r="S102" s="26"/>
      <c r="T102" s="26">
        <f>ROUND((ROUND(Source!AF39*Source!AV39*Source!I39,2)+ROUND(Source!AE39*Source!AV39*Source!I39,2))*(Source!FX39)/100,2)</f>
        <v>65.8</v>
      </c>
      <c r="U102" s="26">
        <f>Source!X39</f>
        <v>822.49</v>
      </c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>
        <f>T102</f>
        <v>65.8</v>
      </c>
      <c r="GZ102" s="26"/>
      <c r="HA102" s="26"/>
      <c r="HB102" s="26"/>
      <c r="HC102" s="26">
        <f>T102</f>
        <v>65.8</v>
      </c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</row>
    <row r="103" spans="1:255" x14ac:dyDescent="0.2">
      <c r="A103" s="111"/>
      <c r="B103" s="107"/>
      <c r="C103" s="107" t="s">
        <v>439</v>
      </c>
      <c r="D103" s="108"/>
      <c r="E103" s="109">
        <v>65</v>
      </c>
      <c r="F103" s="112" t="s">
        <v>438</v>
      </c>
      <c r="G103" s="110"/>
      <c r="H103" s="113">
        <f>ROUND((Source!AF39*Source!AV39+Source!AE39*Source!AV39)*(Source!FY39)/100,2)</f>
        <v>60.03</v>
      </c>
      <c r="I103" s="113">
        <f>T103</f>
        <v>45.02</v>
      </c>
      <c r="J103" s="115">
        <v>0.65</v>
      </c>
      <c r="K103" s="114">
        <f>U103</f>
        <v>562.76</v>
      </c>
      <c r="O103" s="26"/>
      <c r="P103" s="26"/>
      <c r="Q103" s="26"/>
      <c r="R103" s="26"/>
      <c r="S103" s="26"/>
      <c r="T103" s="26">
        <f>ROUND((ROUND(Source!AF39*Source!AV39*Source!I39,2)+ROUND(Source!AE39*Source!AV39*Source!I39,2))*(Source!FY39)/100,2)</f>
        <v>45.02</v>
      </c>
      <c r="U103" s="26">
        <f>Source!Y39</f>
        <v>562.76</v>
      </c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>
        <f>T103</f>
        <v>45.02</v>
      </c>
      <c r="HA103" s="26"/>
      <c r="HB103" s="26"/>
      <c r="HC103" s="26">
        <f>T103</f>
        <v>45.02</v>
      </c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</row>
    <row r="104" spans="1:255" ht="13.5" thickBot="1" x14ac:dyDescent="0.25">
      <c r="A104" s="124"/>
      <c r="B104" s="125"/>
      <c r="C104" s="125" t="s">
        <v>440</v>
      </c>
      <c r="D104" s="126" t="s">
        <v>441</v>
      </c>
      <c r="E104" s="127">
        <v>9.6</v>
      </c>
      <c r="F104" s="128"/>
      <c r="G104" s="129"/>
      <c r="H104" s="128">
        <f>ROUND(Source!AH39,2)</f>
        <v>9.6</v>
      </c>
      <c r="I104" s="130">
        <f>Source!U39</f>
        <v>7.1999999999999993</v>
      </c>
      <c r="J104" s="128"/>
      <c r="K104" s="13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x14ac:dyDescent="0.2">
      <c r="A105" s="123"/>
      <c r="B105" s="122"/>
      <c r="C105" s="122"/>
      <c r="D105" s="122"/>
      <c r="E105" s="122"/>
      <c r="F105" s="122"/>
      <c r="G105" s="122"/>
      <c r="H105" s="132">
        <f>R105</f>
        <v>181.47</v>
      </c>
      <c r="I105" s="133"/>
      <c r="J105" s="132">
        <f>S105</f>
        <v>2268.37</v>
      </c>
      <c r="K105" s="134"/>
      <c r="O105" s="26"/>
      <c r="P105" s="26"/>
      <c r="Q105" s="26"/>
      <c r="R105" s="26">
        <f>SUM(T99:T104)</f>
        <v>181.47</v>
      </c>
      <c r="S105" s="26">
        <f>SUM(U99:U104)</f>
        <v>2268.37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>
        <f>R105</f>
        <v>181.47</v>
      </c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</row>
    <row r="106" spans="1:255" ht="24" x14ac:dyDescent="0.2">
      <c r="A106" s="135">
        <v>9</v>
      </c>
      <c r="B106" s="143" t="s">
        <v>61</v>
      </c>
      <c r="C106" s="136" t="s">
        <v>62</v>
      </c>
      <c r="D106" s="137" t="s">
        <v>52</v>
      </c>
      <c r="E106" s="205">
        <v>0.100827</v>
      </c>
      <c r="F106" s="139">
        <f>Source!AK41</f>
        <v>1059.04</v>
      </c>
      <c r="G106" s="144" t="s">
        <v>3</v>
      </c>
      <c r="H106" s="139">
        <f>Source!AB41</f>
        <v>1059.04</v>
      </c>
      <c r="I106" s="139"/>
      <c r="J106" s="142"/>
      <c r="K106" s="140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</row>
    <row r="107" spans="1:255" x14ac:dyDescent="0.2">
      <c r="A107" s="103"/>
      <c r="B107" s="98"/>
      <c r="C107" s="98" t="s">
        <v>436</v>
      </c>
      <c r="D107" s="99"/>
      <c r="E107" s="100"/>
      <c r="F107" s="104">
        <v>385.48</v>
      </c>
      <c r="G107" s="101"/>
      <c r="H107" s="104">
        <f>Source!AF41</f>
        <v>385.48</v>
      </c>
      <c r="I107" s="104">
        <f>T107</f>
        <v>38.869999999999997</v>
      </c>
      <c r="J107" s="102">
        <v>12.5</v>
      </c>
      <c r="K107" s="105">
        <f>U107</f>
        <v>485.83</v>
      </c>
      <c r="O107" s="26"/>
      <c r="P107" s="26"/>
      <c r="Q107" s="26"/>
      <c r="R107" s="26"/>
      <c r="S107" s="26"/>
      <c r="T107" s="26">
        <f>ROUND(Source!AF41*Source!AV41*Source!I41,2)</f>
        <v>38.869999999999997</v>
      </c>
      <c r="U107" s="26">
        <f>Source!S41</f>
        <v>485.83</v>
      </c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>
        <f>T107</f>
        <v>38.869999999999997</v>
      </c>
      <c r="GK107" s="26">
        <f>T107</f>
        <v>38.869999999999997</v>
      </c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>
        <f>T107</f>
        <v>38.869999999999997</v>
      </c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</row>
    <row r="108" spans="1:255" x14ac:dyDescent="0.2">
      <c r="A108" s="120"/>
      <c r="B108" s="116"/>
      <c r="C108" s="116" t="s">
        <v>442</v>
      </c>
      <c r="D108" s="117"/>
      <c r="E108" s="118"/>
      <c r="F108" s="121">
        <v>156.58000000000001</v>
      </c>
      <c r="G108" s="119"/>
      <c r="H108" s="121">
        <f>Source!AD41</f>
        <v>156.58000000000001</v>
      </c>
      <c r="I108" s="121">
        <f>T108</f>
        <v>15.79</v>
      </c>
      <c r="J108" s="145">
        <v>12.5</v>
      </c>
      <c r="K108" s="146">
        <f>U108</f>
        <v>197.34</v>
      </c>
      <c r="O108" s="26"/>
      <c r="P108" s="26"/>
      <c r="Q108" s="26"/>
      <c r="R108" s="26"/>
      <c r="S108" s="26"/>
      <c r="T108" s="26">
        <f>ROUND(Source!AD41*Source!AV41*Source!I41,2)</f>
        <v>15.79</v>
      </c>
      <c r="U108" s="26">
        <f>Source!Q41</f>
        <v>197.34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>
        <f>T108</f>
        <v>15.79</v>
      </c>
      <c r="GK108" s="26"/>
      <c r="GL108" s="26">
        <f>T108</f>
        <v>15.79</v>
      </c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>
        <f>T108</f>
        <v>15.79</v>
      </c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</row>
    <row r="109" spans="1:255" x14ac:dyDescent="0.2">
      <c r="A109" s="120"/>
      <c r="B109" s="116"/>
      <c r="C109" s="116" t="s">
        <v>443</v>
      </c>
      <c r="D109" s="117"/>
      <c r="E109" s="118"/>
      <c r="F109" s="121">
        <v>17.5</v>
      </c>
      <c r="G109" s="119"/>
      <c r="H109" s="121">
        <f>Source!AE41</f>
        <v>17.5</v>
      </c>
      <c r="I109" s="121">
        <f>GM109</f>
        <v>1.76</v>
      </c>
      <c r="J109" s="145">
        <v>12.5</v>
      </c>
      <c r="K109" s="146">
        <f>Source!R41</f>
        <v>22.06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>
        <f>ROUND(Source!AE41*Source!AV41*Source!I41,2)</f>
        <v>1.76</v>
      </c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</row>
    <row r="110" spans="1:255" x14ac:dyDescent="0.2">
      <c r="A110" s="120"/>
      <c r="B110" s="116"/>
      <c r="C110" s="116" t="s">
        <v>444</v>
      </c>
      <c r="D110" s="117"/>
      <c r="E110" s="118"/>
      <c r="F110" s="121">
        <v>516.98</v>
      </c>
      <c r="G110" s="119"/>
      <c r="H110" s="121">
        <f>Source!AC41</f>
        <v>516.98</v>
      </c>
      <c r="I110" s="121">
        <f>T110</f>
        <v>52.13</v>
      </c>
      <c r="J110" s="145">
        <v>12.5</v>
      </c>
      <c r="K110" s="146">
        <f>U110</f>
        <v>651.57000000000005</v>
      </c>
      <c r="O110" s="26"/>
      <c r="P110" s="26"/>
      <c r="Q110" s="26"/>
      <c r="R110" s="26"/>
      <c r="S110" s="26"/>
      <c r="T110" s="26">
        <f>ROUND(Source!AC41*Source!AW41*Source!I41,2)</f>
        <v>52.13</v>
      </c>
      <c r="U110" s="26">
        <f>Source!P41</f>
        <v>651.57000000000005</v>
      </c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>
        <f>T110</f>
        <v>52.13</v>
      </c>
      <c r="GK110" s="26"/>
      <c r="GL110" s="26"/>
      <c r="GM110" s="26"/>
      <c r="GN110" s="26">
        <f>T110</f>
        <v>52.13</v>
      </c>
      <c r="GO110" s="26"/>
      <c r="GP110" s="26">
        <f>T110</f>
        <v>52.13</v>
      </c>
      <c r="GQ110" s="26">
        <f>T110</f>
        <v>52.13</v>
      </c>
      <c r="GR110" s="26"/>
      <c r="GS110" s="26">
        <f>T110</f>
        <v>52.13</v>
      </c>
      <c r="GT110" s="26"/>
      <c r="GU110" s="26"/>
      <c r="GV110" s="26"/>
      <c r="GW110" s="26">
        <f>ROUND(Source!AG41*Source!I41,2)</f>
        <v>0</v>
      </c>
      <c r="GX110" s="26">
        <f>ROUND(Source!AJ41*Source!I41,2)</f>
        <v>0</v>
      </c>
      <c r="GY110" s="26"/>
      <c r="GZ110" s="26"/>
      <c r="HA110" s="26"/>
      <c r="HB110" s="26"/>
      <c r="HC110" s="26">
        <f>T110</f>
        <v>52.13</v>
      </c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</row>
    <row r="111" spans="1:255" x14ac:dyDescent="0.2">
      <c r="A111" s="111"/>
      <c r="B111" s="107"/>
      <c r="C111" s="107" t="s">
        <v>437</v>
      </c>
      <c r="D111" s="108"/>
      <c r="E111" s="109">
        <v>80</v>
      </c>
      <c r="F111" s="112" t="s">
        <v>438</v>
      </c>
      <c r="G111" s="110"/>
      <c r="H111" s="113">
        <f>ROUND((Source!AF41*Source!AV41+Source!AE41*Source!AV41)*(Source!FX41)/100,2)</f>
        <v>322.38</v>
      </c>
      <c r="I111" s="113">
        <f>T111</f>
        <v>32.5</v>
      </c>
      <c r="J111" s="115">
        <v>0.8</v>
      </c>
      <c r="K111" s="114">
        <f>U111</f>
        <v>406.31</v>
      </c>
      <c r="O111" s="26"/>
      <c r="P111" s="26"/>
      <c r="Q111" s="26"/>
      <c r="R111" s="26"/>
      <c r="S111" s="26"/>
      <c r="T111" s="26">
        <f>ROUND((ROUND(Source!AF41*Source!AV41*Source!I41,2)+ROUND(Source!AE41*Source!AV41*Source!I41,2))*(Source!FX41)/100,2)</f>
        <v>32.5</v>
      </c>
      <c r="U111" s="26">
        <f>Source!X41</f>
        <v>406.31</v>
      </c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>
        <f>T111</f>
        <v>32.5</v>
      </c>
      <c r="GZ111" s="26"/>
      <c r="HA111" s="26"/>
      <c r="HB111" s="26"/>
      <c r="HC111" s="26">
        <f>T111</f>
        <v>32.5</v>
      </c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x14ac:dyDescent="0.2">
      <c r="A112" s="111"/>
      <c r="B112" s="107"/>
      <c r="C112" s="107" t="s">
        <v>439</v>
      </c>
      <c r="D112" s="108"/>
      <c r="E112" s="109">
        <v>60</v>
      </c>
      <c r="F112" s="112" t="s">
        <v>438</v>
      </c>
      <c r="G112" s="110"/>
      <c r="H112" s="113">
        <f>ROUND((Source!AF41*Source!AV41+Source!AE41*Source!AV41)*(Source!FY41)/100,2)</f>
        <v>241.79</v>
      </c>
      <c r="I112" s="113">
        <f>T112</f>
        <v>24.38</v>
      </c>
      <c r="J112" s="115">
        <v>0.6</v>
      </c>
      <c r="K112" s="114">
        <f>U112</f>
        <v>304.73</v>
      </c>
      <c r="O112" s="26"/>
      <c r="P112" s="26"/>
      <c r="Q112" s="26"/>
      <c r="R112" s="26"/>
      <c r="S112" s="26"/>
      <c r="T112" s="26">
        <f>ROUND((ROUND(Source!AF41*Source!AV41*Source!I41,2)+ROUND(Source!AE41*Source!AV41*Source!I41,2))*(Source!FY41)/100,2)</f>
        <v>24.38</v>
      </c>
      <c r="U112" s="26">
        <f>Source!Y41</f>
        <v>304.73</v>
      </c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>
        <f>T112</f>
        <v>24.38</v>
      </c>
      <c r="HA112" s="26"/>
      <c r="HB112" s="26"/>
      <c r="HC112" s="26">
        <f>T112</f>
        <v>24.38</v>
      </c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</row>
    <row r="113" spans="1:255" ht="13.5" thickBot="1" x14ac:dyDescent="0.25">
      <c r="A113" s="124"/>
      <c r="B113" s="125"/>
      <c r="C113" s="125" t="s">
        <v>440</v>
      </c>
      <c r="D113" s="126" t="s">
        <v>441</v>
      </c>
      <c r="E113" s="127">
        <v>42.5</v>
      </c>
      <c r="F113" s="128"/>
      <c r="G113" s="129"/>
      <c r="H113" s="128">
        <f>ROUND(Source!AH41,2)</f>
        <v>42.5</v>
      </c>
      <c r="I113" s="130">
        <f>Source!U41</f>
        <v>4.2851474999999999</v>
      </c>
      <c r="J113" s="128"/>
      <c r="K113" s="131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1:255" x14ac:dyDescent="0.2">
      <c r="A114" s="123"/>
      <c r="B114" s="122"/>
      <c r="C114" s="122"/>
      <c r="D114" s="122"/>
      <c r="E114" s="122"/>
      <c r="F114" s="122"/>
      <c r="G114" s="122"/>
      <c r="H114" s="132">
        <f>R114</f>
        <v>163.66999999999999</v>
      </c>
      <c r="I114" s="133"/>
      <c r="J114" s="132">
        <f>S114</f>
        <v>2045.78</v>
      </c>
      <c r="K114" s="134"/>
      <c r="O114" s="26"/>
      <c r="P114" s="26"/>
      <c r="Q114" s="26"/>
      <c r="R114" s="26">
        <f>SUM(T106:T113)</f>
        <v>163.66999999999999</v>
      </c>
      <c r="S114" s="26">
        <f>SUM(U106:U113)</f>
        <v>2045.78</v>
      </c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>
        <f>R114</f>
        <v>163.66999999999999</v>
      </c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ht="36" x14ac:dyDescent="0.2">
      <c r="A115" s="135">
        <v>10</v>
      </c>
      <c r="B115" s="143" t="s">
        <v>67</v>
      </c>
      <c r="C115" s="136" t="s">
        <v>68</v>
      </c>
      <c r="D115" s="137" t="s">
        <v>24</v>
      </c>
      <c r="E115" s="138">
        <v>2</v>
      </c>
      <c r="F115" s="139">
        <f>Source!AK43</f>
        <v>20.75</v>
      </c>
      <c r="G115" s="144" t="s">
        <v>3</v>
      </c>
      <c r="H115" s="139">
        <f>Source!AB43</f>
        <v>20.75</v>
      </c>
      <c r="I115" s="139"/>
      <c r="J115" s="142"/>
      <c r="K115" s="140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x14ac:dyDescent="0.2">
      <c r="A116" s="103"/>
      <c r="B116" s="98"/>
      <c r="C116" s="98" t="s">
        <v>436</v>
      </c>
      <c r="D116" s="99"/>
      <c r="E116" s="100"/>
      <c r="F116" s="104">
        <v>20.75</v>
      </c>
      <c r="G116" s="101"/>
      <c r="H116" s="104">
        <f>Source!AF43</f>
        <v>20.75</v>
      </c>
      <c r="I116" s="104">
        <f>T116</f>
        <v>41.5</v>
      </c>
      <c r="J116" s="102">
        <v>18.3</v>
      </c>
      <c r="K116" s="105">
        <f>U116</f>
        <v>759.45</v>
      </c>
      <c r="O116" s="26"/>
      <c r="P116" s="26"/>
      <c r="Q116" s="26"/>
      <c r="R116" s="26"/>
      <c r="S116" s="26"/>
      <c r="T116" s="26">
        <f>ROUND(Source!AF43*Source!AV43*Source!I43,2)</f>
        <v>41.5</v>
      </c>
      <c r="U116" s="26">
        <f>Source!S43</f>
        <v>759.45</v>
      </c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>
        <f>T116</f>
        <v>41.5</v>
      </c>
      <c r="GK116" s="26">
        <f>T116</f>
        <v>41.5</v>
      </c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>
        <f>T116</f>
        <v>41.5</v>
      </c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</row>
    <row r="117" spans="1:255" x14ac:dyDescent="0.2">
      <c r="A117" s="111"/>
      <c r="B117" s="107"/>
      <c r="C117" s="107" t="s">
        <v>437</v>
      </c>
      <c r="D117" s="108"/>
      <c r="E117" s="109">
        <v>65</v>
      </c>
      <c r="F117" s="112" t="s">
        <v>438</v>
      </c>
      <c r="G117" s="110"/>
      <c r="H117" s="113">
        <f>ROUND((Source!AF43*Source!AV43+Source!AE43*Source!AV43)*(Source!FX43)/100,2)</f>
        <v>13.49</v>
      </c>
      <c r="I117" s="113">
        <f>T117</f>
        <v>26.98</v>
      </c>
      <c r="J117" s="115">
        <v>0.65</v>
      </c>
      <c r="K117" s="114">
        <f>U117</f>
        <v>493.64</v>
      </c>
      <c r="O117" s="26"/>
      <c r="P117" s="26"/>
      <c r="Q117" s="26"/>
      <c r="R117" s="26"/>
      <c r="S117" s="26"/>
      <c r="T117" s="26">
        <f>ROUND((ROUND(Source!AF43*Source!AV43*Source!I43,2)+ROUND(Source!AE43*Source!AV43*Source!I43,2))*(Source!FX43)/100,2)</f>
        <v>26.98</v>
      </c>
      <c r="U117" s="26">
        <f>Source!X43</f>
        <v>493.64</v>
      </c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>
        <f>T117</f>
        <v>26.98</v>
      </c>
      <c r="GZ117" s="26"/>
      <c r="HA117" s="26"/>
      <c r="HB117" s="26"/>
      <c r="HC117" s="26"/>
      <c r="HD117" s="26"/>
      <c r="HE117" s="26">
        <f>T117</f>
        <v>26.98</v>
      </c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</row>
    <row r="118" spans="1:255" x14ac:dyDescent="0.2">
      <c r="A118" s="111"/>
      <c r="B118" s="107"/>
      <c r="C118" s="107" t="s">
        <v>439</v>
      </c>
      <c r="D118" s="108"/>
      <c r="E118" s="109">
        <v>40</v>
      </c>
      <c r="F118" s="112" t="s">
        <v>438</v>
      </c>
      <c r="G118" s="110"/>
      <c r="H118" s="113">
        <f>ROUND((Source!AF43*Source!AV43+Source!AE43*Source!AV43)*(Source!FY43)/100,2)</f>
        <v>8.3000000000000007</v>
      </c>
      <c r="I118" s="113">
        <f>T118</f>
        <v>16.600000000000001</v>
      </c>
      <c r="J118" s="115">
        <v>0.4</v>
      </c>
      <c r="K118" s="114">
        <f>U118</f>
        <v>303.77999999999997</v>
      </c>
      <c r="O118" s="26"/>
      <c r="P118" s="26"/>
      <c r="Q118" s="26"/>
      <c r="R118" s="26"/>
      <c r="S118" s="26"/>
      <c r="T118" s="26">
        <f>ROUND((ROUND(Source!AF43*Source!AV43*Source!I43,2)+ROUND(Source!AE43*Source!AV43*Source!I43,2))*(Source!FY43)/100,2)</f>
        <v>16.600000000000001</v>
      </c>
      <c r="U118" s="26">
        <f>Source!Y43</f>
        <v>303.77999999999997</v>
      </c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>
        <f>T118</f>
        <v>16.600000000000001</v>
      </c>
      <c r="HA118" s="26"/>
      <c r="HB118" s="26"/>
      <c r="HC118" s="26"/>
      <c r="HD118" s="26"/>
      <c r="HE118" s="26">
        <f>T118</f>
        <v>16.600000000000001</v>
      </c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</row>
    <row r="119" spans="1:255" ht="13.5" thickBot="1" x14ac:dyDescent="0.25">
      <c r="A119" s="124"/>
      <c r="B119" s="125"/>
      <c r="C119" s="125" t="s">
        <v>440</v>
      </c>
      <c r="D119" s="126" t="s">
        <v>441</v>
      </c>
      <c r="E119" s="127">
        <v>1.62</v>
      </c>
      <c r="F119" s="128"/>
      <c r="G119" s="129"/>
      <c r="H119" s="128">
        <f>ROUND(Source!AH43,2)</f>
        <v>1.62</v>
      </c>
      <c r="I119" s="130">
        <f>Source!U43</f>
        <v>3.24</v>
      </c>
      <c r="J119" s="128"/>
      <c r="K119" s="13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</row>
    <row r="120" spans="1:255" x14ac:dyDescent="0.2">
      <c r="A120" s="123"/>
      <c r="B120" s="122"/>
      <c r="C120" s="122"/>
      <c r="D120" s="122"/>
      <c r="E120" s="122"/>
      <c r="F120" s="122"/>
      <c r="G120" s="122"/>
      <c r="H120" s="132">
        <f>R120</f>
        <v>85.080000000000013</v>
      </c>
      <c r="I120" s="133"/>
      <c r="J120" s="132">
        <f>S120</f>
        <v>1556.8700000000001</v>
      </c>
      <c r="K120" s="134"/>
      <c r="O120" s="26"/>
      <c r="P120" s="26"/>
      <c r="Q120" s="26"/>
      <c r="R120" s="26">
        <f>SUM(T115:T119)</f>
        <v>85.080000000000013</v>
      </c>
      <c r="S120" s="26">
        <f>SUM(U115:U119)</f>
        <v>1556.8700000000001</v>
      </c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>
        <f>R120</f>
        <v>85.080000000000013</v>
      </c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</row>
    <row r="121" spans="1:255" x14ac:dyDescent="0.2">
      <c r="A121" s="135">
        <v>11</v>
      </c>
      <c r="B121" s="143" t="s">
        <v>71</v>
      </c>
      <c r="C121" s="136" t="s">
        <v>72</v>
      </c>
      <c r="D121" s="137" t="s">
        <v>24</v>
      </c>
      <c r="E121" s="138">
        <v>2</v>
      </c>
      <c r="F121" s="139">
        <f>Source!AK45</f>
        <v>51.26</v>
      </c>
      <c r="G121" s="144" t="s">
        <v>3</v>
      </c>
      <c r="H121" s="139">
        <f>Source!AB45</f>
        <v>51.26</v>
      </c>
      <c r="I121" s="139"/>
      <c r="J121" s="142"/>
      <c r="K121" s="140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</row>
    <row r="122" spans="1:255" x14ac:dyDescent="0.2">
      <c r="A122" s="103"/>
      <c r="B122" s="98"/>
      <c r="C122" s="98" t="s">
        <v>436</v>
      </c>
      <c r="D122" s="99"/>
      <c r="E122" s="100"/>
      <c r="F122" s="104">
        <v>35.51</v>
      </c>
      <c r="G122" s="101"/>
      <c r="H122" s="104">
        <f>Source!AF45</f>
        <v>35.51</v>
      </c>
      <c r="I122" s="104">
        <f>T122</f>
        <v>71.02</v>
      </c>
      <c r="J122" s="102">
        <v>12.5</v>
      </c>
      <c r="K122" s="105">
        <f>U122</f>
        <v>887.75</v>
      </c>
      <c r="O122" s="26"/>
      <c r="P122" s="26"/>
      <c r="Q122" s="26"/>
      <c r="R122" s="26"/>
      <c r="S122" s="26"/>
      <c r="T122" s="26">
        <f>ROUND(Source!AF45*Source!AV45*Source!I45,2)</f>
        <v>71.02</v>
      </c>
      <c r="U122" s="26">
        <f>Source!S45</f>
        <v>887.75</v>
      </c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>
        <f>T122</f>
        <v>71.02</v>
      </c>
      <c r="GK122" s="26">
        <f>T122</f>
        <v>71.02</v>
      </c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>
        <f>T122</f>
        <v>71.02</v>
      </c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x14ac:dyDescent="0.2">
      <c r="A123" s="120"/>
      <c r="B123" s="116"/>
      <c r="C123" s="116" t="s">
        <v>442</v>
      </c>
      <c r="D123" s="117"/>
      <c r="E123" s="118"/>
      <c r="F123" s="121">
        <v>4.67</v>
      </c>
      <c r="G123" s="119"/>
      <c r="H123" s="121">
        <f>Source!AD45</f>
        <v>4.67</v>
      </c>
      <c r="I123" s="121">
        <f>T123</f>
        <v>9.34</v>
      </c>
      <c r="J123" s="145">
        <v>12.5</v>
      </c>
      <c r="K123" s="146">
        <f>U123</f>
        <v>116.75</v>
      </c>
      <c r="O123" s="26"/>
      <c r="P123" s="26"/>
      <c r="Q123" s="26"/>
      <c r="R123" s="26"/>
      <c r="S123" s="26"/>
      <c r="T123" s="26">
        <f>ROUND(Source!AD45*Source!AV45*Source!I45,2)</f>
        <v>9.34</v>
      </c>
      <c r="U123" s="26">
        <f>Source!Q45</f>
        <v>116.75</v>
      </c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>
        <f>T123</f>
        <v>9.34</v>
      </c>
      <c r="GK123" s="26"/>
      <c r="GL123" s="26">
        <f>T123</f>
        <v>9.34</v>
      </c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>
        <f>T123</f>
        <v>9.34</v>
      </c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</row>
    <row r="124" spans="1:255" x14ac:dyDescent="0.2">
      <c r="A124" s="120"/>
      <c r="B124" s="116"/>
      <c r="C124" s="116" t="s">
        <v>443</v>
      </c>
      <c r="D124" s="117"/>
      <c r="E124" s="118"/>
      <c r="F124" s="121">
        <v>0.64</v>
      </c>
      <c r="G124" s="119"/>
      <c r="H124" s="121">
        <f>Source!AE45</f>
        <v>0.64</v>
      </c>
      <c r="I124" s="121">
        <f>GM124</f>
        <v>1.28</v>
      </c>
      <c r="J124" s="145">
        <v>12.5</v>
      </c>
      <c r="K124" s="146">
        <f>Source!R45</f>
        <v>16</v>
      </c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>
        <f>ROUND(Source!AE45*Source!AV45*Source!I45,2)</f>
        <v>1.28</v>
      </c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</row>
    <row r="125" spans="1:255" x14ac:dyDescent="0.2">
      <c r="A125" s="120"/>
      <c r="B125" s="116"/>
      <c r="C125" s="116" t="s">
        <v>444</v>
      </c>
      <c r="D125" s="117"/>
      <c r="E125" s="118"/>
      <c r="F125" s="121">
        <v>11.08</v>
      </c>
      <c r="G125" s="119"/>
      <c r="H125" s="121">
        <f>Source!AC45</f>
        <v>11.08</v>
      </c>
      <c r="I125" s="121">
        <f>T125</f>
        <v>22.16</v>
      </c>
      <c r="J125" s="145">
        <v>12.5</v>
      </c>
      <c r="K125" s="146">
        <f>U125</f>
        <v>277</v>
      </c>
      <c r="O125" s="26"/>
      <c r="P125" s="26"/>
      <c r="Q125" s="26"/>
      <c r="R125" s="26"/>
      <c r="S125" s="26"/>
      <c r="T125" s="26">
        <f>ROUND(Source!AC45*Source!AW45*Source!I45,2)</f>
        <v>22.16</v>
      </c>
      <c r="U125" s="26">
        <f>Source!P45</f>
        <v>277</v>
      </c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>
        <f>T125</f>
        <v>22.16</v>
      </c>
      <c r="GK125" s="26"/>
      <c r="GL125" s="26"/>
      <c r="GM125" s="26"/>
      <c r="GN125" s="26">
        <f>T125</f>
        <v>22.16</v>
      </c>
      <c r="GO125" s="26"/>
      <c r="GP125" s="26">
        <f>T125</f>
        <v>22.16</v>
      </c>
      <c r="GQ125" s="26">
        <f>T125</f>
        <v>22.16</v>
      </c>
      <c r="GR125" s="26"/>
      <c r="GS125" s="26">
        <f>T125</f>
        <v>22.16</v>
      </c>
      <c r="GT125" s="26"/>
      <c r="GU125" s="26"/>
      <c r="GV125" s="26"/>
      <c r="GW125" s="26">
        <f>ROUND(Source!AG45*Source!I45,2)</f>
        <v>0</v>
      </c>
      <c r="GX125" s="26">
        <f>ROUND(Source!AJ45*Source!I45,2)</f>
        <v>0</v>
      </c>
      <c r="GY125" s="26"/>
      <c r="GZ125" s="26"/>
      <c r="HA125" s="26"/>
      <c r="HB125" s="26"/>
      <c r="HC125" s="26">
        <f>T125</f>
        <v>22.16</v>
      </c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</row>
    <row r="126" spans="1:255" x14ac:dyDescent="0.2">
      <c r="A126" s="111"/>
      <c r="B126" s="107"/>
      <c r="C126" s="107" t="s">
        <v>437</v>
      </c>
      <c r="D126" s="108"/>
      <c r="E126" s="109">
        <v>95</v>
      </c>
      <c r="F126" s="112" t="s">
        <v>438</v>
      </c>
      <c r="G126" s="110"/>
      <c r="H126" s="113">
        <f>ROUND((Source!AF45*Source!AV45+Source!AE45*Source!AV45)*(Source!FX45)/100,2)</f>
        <v>34.340000000000003</v>
      </c>
      <c r="I126" s="113">
        <f>T126</f>
        <v>68.69</v>
      </c>
      <c r="J126" s="115">
        <v>0.95</v>
      </c>
      <c r="K126" s="114">
        <f>U126</f>
        <v>858.56</v>
      </c>
      <c r="O126" s="26"/>
      <c r="P126" s="26"/>
      <c r="Q126" s="26"/>
      <c r="R126" s="26"/>
      <c r="S126" s="26"/>
      <c r="T126" s="26">
        <f>ROUND((ROUND(Source!AF45*Source!AV45*Source!I45,2)+ROUND(Source!AE45*Source!AV45*Source!I45,2))*(Source!FX45)/100,2)</f>
        <v>68.69</v>
      </c>
      <c r="U126" s="26">
        <f>Source!X45</f>
        <v>858.56</v>
      </c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>
        <f>T126</f>
        <v>68.69</v>
      </c>
      <c r="GZ126" s="26"/>
      <c r="HA126" s="26"/>
      <c r="HB126" s="26"/>
      <c r="HC126" s="26">
        <f>T126</f>
        <v>68.69</v>
      </c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</row>
    <row r="127" spans="1:255" x14ac:dyDescent="0.2">
      <c r="A127" s="111"/>
      <c r="B127" s="107"/>
      <c r="C127" s="107" t="s">
        <v>439</v>
      </c>
      <c r="D127" s="108"/>
      <c r="E127" s="109">
        <v>65</v>
      </c>
      <c r="F127" s="112" t="s">
        <v>438</v>
      </c>
      <c r="G127" s="110"/>
      <c r="H127" s="113">
        <f>ROUND((Source!AF45*Source!AV45+Source!AE45*Source!AV45)*(Source!FY45)/100,2)</f>
        <v>23.5</v>
      </c>
      <c r="I127" s="113">
        <f>T127</f>
        <v>47</v>
      </c>
      <c r="J127" s="115">
        <v>0.65</v>
      </c>
      <c r="K127" s="114">
        <f>U127</f>
        <v>587.44000000000005</v>
      </c>
      <c r="O127" s="26"/>
      <c r="P127" s="26"/>
      <c r="Q127" s="26"/>
      <c r="R127" s="26"/>
      <c r="S127" s="26"/>
      <c r="T127" s="26">
        <f>ROUND((ROUND(Source!AF45*Source!AV45*Source!I45,2)+ROUND(Source!AE45*Source!AV45*Source!I45,2))*(Source!FY45)/100,2)</f>
        <v>47</v>
      </c>
      <c r="U127" s="26">
        <f>Source!Y45</f>
        <v>587.44000000000005</v>
      </c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>
        <f>T127</f>
        <v>47</v>
      </c>
      <c r="HA127" s="26"/>
      <c r="HB127" s="26"/>
      <c r="HC127" s="26">
        <f>T127</f>
        <v>47</v>
      </c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ht="13.5" thickBot="1" x14ac:dyDescent="0.25">
      <c r="A128" s="124"/>
      <c r="B128" s="125"/>
      <c r="C128" s="125" t="s">
        <v>440</v>
      </c>
      <c r="D128" s="126" t="s">
        <v>441</v>
      </c>
      <c r="E128" s="127">
        <v>3.58</v>
      </c>
      <c r="F128" s="128"/>
      <c r="G128" s="129"/>
      <c r="H128" s="128">
        <f>ROUND(Source!AH45,2)</f>
        <v>3.58</v>
      </c>
      <c r="I128" s="130">
        <f>Source!U45</f>
        <v>7.16</v>
      </c>
      <c r="J128" s="128"/>
      <c r="K128" s="131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255" x14ac:dyDescent="0.2">
      <c r="A129" s="123"/>
      <c r="B129" s="122"/>
      <c r="C129" s="122"/>
      <c r="D129" s="122"/>
      <c r="E129" s="122"/>
      <c r="F129" s="122"/>
      <c r="G129" s="122"/>
      <c r="H129" s="132">
        <f>R129</f>
        <v>218.20999999999998</v>
      </c>
      <c r="I129" s="133"/>
      <c r="J129" s="132">
        <f>S129</f>
        <v>2727.5</v>
      </c>
      <c r="K129" s="134"/>
      <c r="O129" s="26"/>
      <c r="P129" s="26"/>
      <c r="Q129" s="26"/>
      <c r="R129" s="26">
        <f>SUM(T121:T128)</f>
        <v>218.20999999999998</v>
      </c>
      <c r="S129" s="26">
        <f>SUM(U121:U128)</f>
        <v>2727.5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>
        <f>R129</f>
        <v>218.20999999999998</v>
      </c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</row>
    <row r="130" spans="1:255" ht="36" x14ac:dyDescent="0.2">
      <c r="A130" s="135">
        <v>12</v>
      </c>
      <c r="B130" s="143" t="s">
        <v>75</v>
      </c>
      <c r="C130" s="136" t="s">
        <v>76</v>
      </c>
      <c r="D130" s="137" t="s">
        <v>24</v>
      </c>
      <c r="E130" s="138">
        <v>16</v>
      </c>
      <c r="F130" s="139">
        <f>Source!AK47</f>
        <v>6.25</v>
      </c>
      <c r="G130" s="144" t="s">
        <v>3</v>
      </c>
      <c r="H130" s="139">
        <f>Source!AB47</f>
        <v>6.25</v>
      </c>
      <c r="I130" s="139"/>
      <c r="J130" s="142"/>
      <c r="K130" s="140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</row>
    <row r="131" spans="1:255" x14ac:dyDescent="0.2">
      <c r="A131" s="103"/>
      <c r="B131" s="98"/>
      <c r="C131" s="98" t="s">
        <v>436</v>
      </c>
      <c r="D131" s="99"/>
      <c r="E131" s="100"/>
      <c r="F131" s="104">
        <v>5.16</v>
      </c>
      <c r="G131" s="101"/>
      <c r="H131" s="104">
        <f>Source!AF47</f>
        <v>5.16</v>
      </c>
      <c r="I131" s="104">
        <f>T131</f>
        <v>82.56</v>
      </c>
      <c r="J131" s="102">
        <v>12.5</v>
      </c>
      <c r="K131" s="105">
        <f>U131</f>
        <v>1032</v>
      </c>
      <c r="O131" s="26"/>
      <c r="P131" s="26"/>
      <c r="Q131" s="26"/>
      <c r="R131" s="26"/>
      <c r="S131" s="26"/>
      <c r="T131" s="26">
        <f>ROUND(Source!AF47*Source!AV47*Source!I47,2)</f>
        <v>82.56</v>
      </c>
      <c r="U131" s="26">
        <f>Source!S47</f>
        <v>1032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>
        <f>T131</f>
        <v>82.56</v>
      </c>
      <c r="GK131" s="26">
        <f>T131</f>
        <v>82.56</v>
      </c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>
        <f>T131</f>
        <v>82.56</v>
      </c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</row>
    <row r="132" spans="1:255" x14ac:dyDescent="0.2">
      <c r="A132" s="120"/>
      <c r="B132" s="116"/>
      <c r="C132" s="116" t="s">
        <v>444</v>
      </c>
      <c r="D132" s="117"/>
      <c r="E132" s="118"/>
      <c r="F132" s="121">
        <v>1.0900000000000001</v>
      </c>
      <c r="G132" s="119"/>
      <c r="H132" s="121">
        <f>Source!AC47</f>
        <v>1.0900000000000001</v>
      </c>
      <c r="I132" s="121">
        <f>T132</f>
        <v>17.440000000000001</v>
      </c>
      <c r="J132" s="145">
        <v>12.5</v>
      </c>
      <c r="K132" s="146">
        <f>U132</f>
        <v>218</v>
      </c>
      <c r="O132" s="26"/>
      <c r="P132" s="26"/>
      <c r="Q132" s="26"/>
      <c r="R132" s="26"/>
      <c r="S132" s="26"/>
      <c r="T132" s="26">
        <f>ROUND(Source!AC47*Source!AW47*Source!I47,2)</f>
        <v>17.440000000000001</v>
      </c>
      <c r="U132" s="26">
        <f>Source!P47</f>
        <v>218</v>
      </c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>
        <f>T132</f>
        <v>17.440000000000001</v>
      </c>
      <c r="GK132" s="26"/>
      <c r="GL132" s="26"/>
      <c r="GM132" s="26"/>
      <c r="GN132" s="26">
        <f>T132</f>
        <v>17.440000000000001</v>
      </c>
      <c r="GO132" s="26"/>
      <c r="GP132" s="26">
        <f>T132</f>
        <v>17.440000000000001</v>
      </c>
      <c r="GQ132" s="26">
        <f>T132</f>
        <v>17.440000000000001</v>
      </c>
      <c r="GR132" s="26"/>
      <c r="GS132" s="26">
        <f>T132</f>
        <v>17.440000000000001</v>
      </c>
      <c r="GT132" s="26"/>
      <c r="GU132" s="26"/>
      <c r="GV132" s="26"/>
      <c r="GW132" s="26">
        <f>ROUND(Source!AG47*Source!I47,2)</f>
        <v>0</v>
      </c>
      <c r="GX132" s="26">
        <f>ROUND(Source!AJ47*Source!I47,2)</f>
        <v>0</v>
      </c>
      <c r="GY132" s="26"/>
      <c r="GZ132" s="26"/>
      <c r="HA132" s="26"/>
      <c r="HB132" s="26"/>
      <c r="HC132" s="26">
        <f>T132</f>
        <v>17.440000000000001</v>
      </c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</row>
    <row r="133" spans="1:255" x14ac:dyDescent="0.2">
      <c r="A133" s="111"/>
      <c r="B133" s="107"/>
      <c r="C133" s="107" t="s">
        <v>437</v>
      </c>
      <c r="D133" s="108"/>
      <c r="E133" s="109">
        <v>80</v>
      </c>
      <c r="F133" s="112" t="s">
        <v>438</v>
      </c>
      <c r="G133" s="110"/>
      <c r="H133" s="113">
        <f>ROUND((Source!AF47*Source!AV47+Source!AE47*Source!AV47)*(Source!FX47)/100,2)</f>
        <v>4.13</v>
      </c>
      <c r="I133" s="113">
        <f>T133</f>
        <v>66.05</v>
      </c>
      <c r="J133" s="115">
        <v>0.8</v>
      </c>
      <c r="K133" s="114">
        <f>U133</f>
        <v>825.6</v>
      </c>
      <c r="O133" s="26"/>
      <c r="P133" s="26"/>
      <c r="Q133" s="26"/>
      <c r="R133" s="26"/>
      <c r="S133" s="26"/>
      <c r="T133" s="26">
        <f>ROUND((ROUND(Source!AF47*Source!AV47*Source!I47,2)+ROUND(Source!AE47*Source!AV47*Source!I47,2))*(Source!FX47)/100,2)</f>
        <v>66.05</v>
      </c>
      <c r="U133" s="26">
        <f>Source!X47</f>
        <v>825.6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>
        <f>T133</f>
        <v>66.05</v>
      </c>
      <c r="GZ133" s="26"/>
      <c r="HA133" s="26"/>
      <c r="HB133" s="26"/>
      <c r="HC133" s="26">
        <f>T133</f>
        <v>66.05</v>
      </c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</row>
    <row r="134" spans="1:255" x14ac:dyDescent="0.2">
      <c r="A134" s="111"/>
      <c r="B134" s="107"/>
      <c r="C134" s="107" t="s">
        <v>439</v>
      </c>
      <c r="D134" s="108"/>
      <c r="E134" s="109">
        <v>60</v>
      </c>
      <c r="F134" s="112" t="s">
        <v>438</v>
      </c>
      <c r="G134" s="110"/>
      <c r="H134" s="113">
        <f>ROUND((Source!AF47*Source!AV47+Source!AE47*Source!AV47)*(Source!FY47)/100,2)</f>
        <v>3.1</v>
      </c>
      <c r="I134" s="113">
        <f>T134</f>
        <v>49.54</v>
      </c>
      <c r="J134" s="115">
        <v>0.6</v>
      </c>
      <c r="K134" s="114">
        <f>U134</f>
        <v>619.20000000000005</v>
      </c>
      <c r="O134" s="26"/>
      <c r="P134" s="26"/>
      <c r="Q134" s="26"/>
      <c r="R134" s="26"/>
      <c r="S134" s="26"/>
      <c r="T134" s="26">
        <f>ROUND((ROUND(Source!AF47*Source!AV47*Source!I47,2)+ROUND(Source!AE47*Source!AV47*Source!I47,2))*(Source!FY47)/100,2)</f>
        <v>49.54</v>
      </c>
      <c r="U134" s="26">
        <f>Source!Y47</f>
        <v>619.20000000000005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>
        <f>T134</f>
        <v>49.54</v>
      </c>
      <c r="HA134" s="26"/>
      <c r="HB134" s="26"/>
      <c r="HC134" s="26">
        <f>T134</f>
        <v>49.54</v>
      </c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</row>
    <row r="135" spans="1:255" ht="13.5" thickBot="1" x14ac:dyDescent="0.25">
      <c r="A135" s="124"/>
      <c r="B135" s="125"/>
      <c r="C135" s="125" t="s">
        <v>440</v>
      </c>
      <c r="D135" s="126" t="s">
        <v>441</v>
      </c>
      <c r="E135" s="127">
        <v>0.52</v>
      </c>
      <c r="F135" s="128"/>
      <c r="G135" s="129"/>
      <c r="H135" s="128">
        <f>ROUND(Source!AH47,2)</f>
        <v>0.52</v>
      </c>
      <c r="I135" s="130">
        <f>Source!U47</f>
        <v>8.32</v>
      </c>
      <c r="J135" s="128"/>
      <c r="K135" s="131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</row>
    <row r="136" spans="1:255" x14ac:dyDescent="0.2">
      <c r="A136" s="123"/>
      <c r="B136" s="122"/>
      <c r="C136" s="122"/>
      <c r="D136" s="122"/>
      <c r="E136" s="122"/>
      <c r="F136" s="122"/>
      <c r="G136" s="122"/>
      <c r="H136" s="132">
        <f>R136</f>
        <v>215.59</v>
      </c>
      <c r="I136" s="133"/>
      <c r="J136" s="132">
        <f>S136</f>
        <v>2694.8</v>
      </c>
      <c r="K136" s="134"/>
      <c r="O136" s="26"/>
      <c r="P136" s="26"/>
      <c r="Q136" s="26"/>
      <c r="R136" s="26">
        <f>SUM(T130:T135)</f>
        <v>215.59</v>
      </c>
      <c r="S136" s="26">
        <f>SUM(U130:U135)</f>
        <v>2694.8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>
        <f>R136</f>
        <v>215.59</v>
      </c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</row>
    <row r="137" spans="1:255" ht="36" x14ac:dyDescent="0.2">
      <c r="A137" s="135">
        <v>13</v>
      </c>
      <c r="B137" s="143" t="s">
        <v>79</v>
      </c>
      <c r="C137" s="136" t="s">
        <v>80</v>
      </c>
      <c r="D137" s="137" t="s">
        <v>81</v>
      </c>
      <c r="E137" s="138">
        <v>1</v>
      </c>
      <c r="F137" s="139">
        <f>Source!AK49</f>
        <v>1815.02</v>
      </c>
      <c r="G137" s="144" t="s">
        <v>3</v>
      </c>
      <c r="H137" s="139">
        <f>Source!AB49</f>
        <v>1815.02</v>
      </c>
      <c r="I137" s="139"/>
      <c r="J137" s="142"/>
      <c r="K137" s="140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</row>
    <row r="138" spans="1:255" x14ac:dyDescent="0.2">
      <c r="A138" s="103"/>
      <c r="B138" s="98"/>
      <c r="C138" s="98" t="s">
        <v>436</v>
      </c>
      <c r="D138" s="99"/>
      <c r="E138" s="100"/>
      <c r="F138" s="104">
        <v>1815.02</v>
      </c>
      <c r="G138" s="101"/>
      <c r="H138" s="104">
        <f>Source!AF49</f>
        <v>1815.02</v>
      </c>
      <c r="I138" s="104">
        <f>T138</f>
        <v>1815.02</v>
      </c>
      <c r="J138" s="102">
        <v>18.3</v>
      </c>
      <c r="K138" s="105">
        <f>U138</f>
        <v>33214.870000000003</v>
      </c>
      <c r="O138" s="26"/>
      <c r="P138" s="26"/>
      <c r="Q138" s="26"/>
      <c r="R138" s="26"/>
      <c r="S138" s="26"/>
      <c r="T138" s="26">
        <f>ROUND(Source!AF49*Source!AV49*Source!I49,2)</f>
        <v>1815.02</v>
      </c>
      <c r="U138" s="26">
        <f>Source!S49</f>
        <v>33214.870000000003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>
        <f>T138</f>
        <v>1815.02</v>
      </c>
      <c r="GK138" s="26">
        <f>T138</f>
        <v>1815.02</v>
      </c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>
        <f>T138</f>
        <v>1815.02</v>
      </c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</row>
    <row r="139" spans="1:255" x14ac:dyDescent="0.2">
      <c r="A139" s="111"/>
      <c r="B139" s="107"/>
      <c r="C139" s="107" t="s">
        <v>437</v>
      </c>
      <c r="D139" s="108"/>
      <c r="E139" s="109">
        <v>65</v>
      </c>
      <c r="F139" s="112" t="s">
        <v>438</v>
      </c>
      <c r="G139" s="110"/>
      <c r="H139" s="113">
        <f>ROUND((Source!AF49*Source!AV49+Source!AE49*Source!AV49)*(Source!FX49)/100,2)</f>
        <v>1179.76</v>
      </c>
      <c r="I139" s="113">
        <f>T139</f>
        <v>1179.76</v>
      </c>
      <c r="J139" s="115">
        <v>0.65</v>
      </c>
      <c r="K139" s="114">
        <f>U139</f>
        <v>21589.67</v>
      </c>
      <c r="O139" s="26"/>
      <c r="P139" s="26"/>
      <c r="Q139" s="26"/>
      <c r="R139" s="26"/>
      <c r="S139" s="26"/>
      <c r="T139" s="26">
        <f>ROUND((ROUND(Source!AF49*Source!AV49*Source!I49,2)+ROUND(Source!AE49*Source!AV49*Source!I49,2))*(Source!FX49)/100,2)</f>
        <v>1179.76</v>
      </c>
      <c r="U139" s="26">
        <f>Source!X49</f>
        <v>21589.67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>
        <f>T139</f>
        <v>1179.76</v>
      </c>
      <c r="GZ139" s="26"/>
      <c r="HA139" s="26"/>
      <c r="HB139" s="26"/>
      <c r="HC139" s="26"/>
      <c r="HD139" s="26"/>
      <c r="HE139" s="26">
        <f>T139</f>
        <v>1179.76</v>
      </c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</row>
    <row r="140" spans="1:255" x14ac:dyDescent="0.2">
      <c r="A140" s="111"/>
      <c r="B140" s="107"/>
      <c r="C140" s="107" t="s">
        <v>439</v>
      </c>
      <c r="D140" s="108"/>
      <c r="E140" s="109">
        <v>40</v>
      </c>
      <c r="F140" s="112" t="s">
        <v>438</v>
      </c>
      <c r="G140" s="110"/>
      <c r="H140" s="113">
        <f>ROUND((Source!AF49*Source!AV49+Source!AE49*Source!AV49)*(Source!FY49)/100,2)</f>
        <v>726.01</v>
      </c>
      <c r="I140" s="113">
        <f>T140</f>
        <v>726.01</v>
      </c>
      <c r="J140" s="115">
        <v>0.4</v>
      </c>
      <c r="K140" s="114">
        <f>U140</f>
        <v>13285.95</v>
      </c>
      <c r="O140" s="26"/>
      <c r="P140" s="26"/>
      <c r="Q140" s="26"/>
      <c r="R140" s="26"/>
      <c r="S140" s="26"/>
      <c r="T140" s="26">
        <f>ROUND((ROUND(Source!AF49*Source!AV49*Source!I49,2)+ROUND(Source!AE49*Source!AV49*Source!I49,2))*(Source!FY49)/100,2)</f>
        <v>726.01</v>
      </c>
      <c r="U140" s="26">
        <f>Source!Y49</f>
        <v>13285.95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>
        <f>T140</f>
        <v>726.01</v>
      </c>
      <c r="HA140" s="26"/>
      <c r="HB140" s="26"/>
      <c r="HC140" s="26"/>
      <c r="HD140" s="26"/>
      <c r="HE140" s="26">
        <f>T140</f>
        <v>726.01</v>
      </c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</row>
    <row r="141" spans="1:255" ht="13.5" thickBot="1" x14ac:dyDescent="0.25">
      <c r="A141" s="124"/>
      <c r="B141" s="125"/>
      <c r="C141" s="125" t="s">
        <v>440</v>
      </c>
      <c r="D141" s="126" t="s">
        <v>441</v>
      </c>
      <c r="E141" s="127">
        <v>128</v>
      </c>
      <c r="F141" s="128"/>
      <c r="G141" s="129"/>
      <c r="H141" s="128">
        <f>ROUND(Source!AH49,2)</f>
        <v>128</v>
      </c>
      <c r="I141" s="130">
        <f>Source!U49</f>
        <v>128</v>
      </c>
      <c r="J141" s="128"/>
      <c r="K141" s="13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</row>
    <row r="142" spans="1:255" x14ac:dyDescent="0.2">
      <c r="A142" s="123"/>
      <c r="B142" s="122"/>
      <c r="C142" s="122"/>
      <c r="D142" s="122"/>
      <c r="E142" s="122"/>
      <c r="F142" s="122"/>
      <c r="G142" s="122"/>
      <c r="H142" s="132">
        <f>R142</f>
        <v>3720.79</v>
      </c>
      <c r="I142" s="133"/>
      <c r="J142" s="132">
        <f>S142</f>
        <v>68090.490000000005</v>
      </c>
      <c r="K142" s="134"/>
      <c r="O142" s="26"/>
      <c r="P142" s="26"/>
      <c r="Q142" s="26"/>
      <c r="R142" s="26">
        <f>SUM(T137:T141)</f>
        <v>3720.79</v>
      </c>
      <c r="S142" s="26">
        <f>SUM(U137:U141)</f>
        <v>68090.490000000005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>
        <f>R142</f>
        <v>3720.79</v>
      </c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</row>
    <row r="143" spans="1:255" ht="60" x14ac:dyDescent="0.2">
      <c r="A143" s="135">
        <v>14</v>
      </c>
      <c r="B143" s="143" t="s">
        <v>84</v>
      </c>
      <c r="C143" s="136" t="s">
        <v>85</v>
      </c>
      <c r="D143" s="137" t="s">
        <v>86</v>
      </c>
      <c r="E143" s="138">
        <v>14</v>
      </c>
      <c r="F143" s="139">
        <f>Source!AK51</f>
        <v>87.2</v>
      </c>
      <c r="G143" s="144" t="s">
        <v>3</v>
      </c>
      <c r="H143" s="139">
        <f>Source!AB51</f>
        <v>87.2</v>
      </c>
      <c r="I143" s="139"/>
      <c r="J143" s="142"/>
      <c r="K143" s="140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</row>
    <row r="144" spans="1:255" x14ac:dyDescent="0.2">
      <c r="A144" s="103"/>
      <c r="B144" s="98"/>
      <c r="C144" s="98" t="s">
        <v>436</v>
      </c>
      <c r="D144" s="99"/>
      <c r="E144" s="100"/>
      <c r="F144" s="104">
        <v>87.2</v>
      </c>
      <c r="G144" s="101"/>
      <c r="H144" s="104">
        <f>Source!AF51</f>
        <v>87.2</v>
      </c>
      <c r="I144" s="104">
        <f>T144</f>
        <v>1220.8</v>
      </c>
      <c r="J144" s="102">
        <v>18.3</v>
      </c>
      <c r="K144" s="105">
        <f>U144</f>
        <v>22340.639999999999</v>
      </c>
      <c r="O144" s="26"/>
      <c r="P144" s="26"/>
      <c r="Q144" s="26"/>
      <c r="R144" s="26"/>
      <c r="S144" s="26"/>
      <c r="T144" s="26">
        <f>ROUND(Source!AF51*Source!AV51*Source!I51,2)</f>
        <v>1220.8</v>
      </c>
      <c r="U144" s="26">
        <f>Source!S51</f>
        <v>22340.639999999999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>
        <f>T144</f>
        <v>1220.8</v>
      </c>
      <c r="GK144" s="26">
        <f>T144</f>
        <v>1220.8</v>
      </c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>
        <f>T144</f>
        <v>1220.8</v>
      </c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</row>
    <row r="145" spans="1:255" x14ac:dyDescent="0.2">
      <c r="A145" s="111"/>
      <c r="B145" s="107"/>
      <c r="C145" s="107" t="s">
        <v>437</v>
      </c>
      <c r="D145" s="108"/>
      <c r="E145" s="109">
        <v>65</v>
      </c>
      <c r="F145" s="112" t="s">
        <v>438</v>
      </c>
      <c r="G145" s="110"/>
      <c r="H145" s="113">
        <f>ROUND((Source!AF51*Source!AV51+Source!AE51*Source!AV51)*(Source!FX51)/100,2)</f>
        <v>56.68</v>
      </c>
      <c r="I145" s="113">
        <f>T145</f>
        <v>793.52</v>
      </c>
      <c r="J145" s="115">
        <v>0.65</v>
      </c>
      <c r="K145" s="114">
        <f>U145</f>
        <v>14521.42</v>
      </c>
      <c r="O145" s="26"/>
      <c r="P145" s="26"/>
      <c r="Q145" s="26"/>
      <c r="R145" s="26"/>
      <c r="S145" s="26"/>
      <c r="T145" s="26">
        <f>ROUND((ROUND(Source!AF51*Source!AV51*Source!I51,2)+ROUND(Source!AE51*Source!AV51*Source!I51,2))*(Source!FX51)/100,2)</f>
        <v>793.52</v>
      </c>
      <c r="U145" s="26">
        <f>Source!X51</f>
        <v>14521.42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>
        <f>T145</f>
        <v>793.52</v>
      </c>
      <c r="GZ145" s="26"/>
      <c r="HA145" s="26"/>
      <c r="HB145" s="26"/>
      <c r="HC145" s="26"/>
      <c r="HD145" s="26"/>
      <c r="HE145" s="26">
        <f>T145</f>
        <v>793.52</v>
      </c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</row>
    <row r="146" spans="1:255" x14ac:dyDescent="0.2">
      <c r="A146" s="111"/>
      <c r="B146" s="107"/>
      <c r="C146" s="107" t="s">
        <v>439</v>
      </c>
      <c r="D146" s="108"/>
      <c r="E146" s="109">
        <v>40</v>
      </c>
      <c r="F146" s="112" t="s">
        <v>438</v>
      </c>
      <c r="G146" s="110"/>
      <c r="H146" s="113">
        <f>ROUND((Source!AF51*Source!AV51+Source!AE51*Source!AV51)*(Source!FY51)/100,2)</f>
        <v>34.880000000000003</v>
      </c>
      <c r="I146" s="113">
        <f>T146</f>
        <v>488.32</v>
      </c>
      <c r="J146" s="115">
        <v>0.4</v>
      </c>
      <c r="K146" s="114">
        <f>U146</f>
        <v>8936.26</v>
      </c>
      <c r="O146" s="26"/>
      <c r="P146" s="26"/>
      <c r="Q146" s="26"/>
      <c r="R146" s="26"/>
      <c r="S146" s="26"/>
      <c r="T146" s="26">
        <f>ROUND((ROUND(Source!AF51*Source!AV51*Source!I51,2)+ROUND(Source!AE51*Source!AV51*Source!I51,2))*(Source!FY51)/100,2)</f>
        <v>488.32</v>
      </c>
      <c r="U146" s="26">
        <f>Source!Y51</f>
        <v>8936.26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>
        <f>T146</f>
        <v>488.32</v>
      </c>
      <c r="HA146" s="26"/>
      <c r="HB146" s="26"/>
      <c r="HC146" s="26"/>
      <c r="HD146" s="26"/>
      <c r="HE146" s="26">
        <f>T146</f>
        <v>488.32</v>
      </c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</row>
    <row r="147" spans="1:255" ht="13.5" thickBot="1" x14ac:dyDescent="0.25">
      <c r="A147" s="124"/>
      <c r="B147" s="125"/>
      <c r="C147" s="125" t="s">
        <v>440</v>
      </c>
      <c r="D147" s="126" t="s">
        <v>441</v>
      </c>
      <c r="E147" s="127">
        <v>6.15</v>
      </c>
      <c r="F147" s="128"/>
      <c r="G147" s="129"/>
      <c r="H147" s="128">
        <f>ROUND(Source!AH51,2)</f>
        <v>6.15</v>
      </c>
      <c r="I147" s="130">
        <f>Source!U51</f>
        <v>86.100000000000009</v>
      </c>
      <c r="J147" s="128"/>
      <c r="K147" s="131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</row>
    <row r="148" spans="1:255" x14ac:dyDescent="0.2">
      <c r="A148" s="123"/>
      <c r="B148" s="122"/>
      <c r="C148" s="122"/>
      <c r="D148" s="122"/>
      <c r="E148" s="122"/>
      <c r="F148" s="122"/>
      <c r="G148" s="122"/>
      <c r="H148" s="132">
        <f>R148</f>
        <v>2502.64</v>
      </c>
      <c r="I148" s="133"/>
      <c r="J148" s="132">
        <f>S148</f>
        <v>45798.32</v>
      </c>
      <c r="K148" s="134"/>
      <c r="O148" s="26"/>
      <c r="P148" s="26"/>
      <c r="Q148" s="26"/>
      <c r="R148" s="26">
        <f>SUM(T143:T147)</f>
        <v>2502.64</v>
      </c>
      <c r="S148" s="26">
        <f>SUM(U143:U147)</f>
        <v>45798.32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>
        <f>R148</f>
        <v>2502.64</v>
      </c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</row>
    <row r="149" spans="1:255" ht="24" x14ac:dyDescent="0.2">
      <c r="A149" s="147">
        <v>15</v>
      </c>
      <c r="B149" s="154" t="s">
        <v>89</v>
      </c>
      <c r="C149" s="148" t="s">
        <v>90</v>
      </c>
      <c r="D149" s="149" t="s">
        <v>24</v>
      </c>
      <c r="E149" s="150">
        <v>2</v>
      </c>
      <c r="F149" s="151">
        <v>5206</v>
      </c>
      <c r="G149" s="141"/>
      <c r="H149" s="151">
        <f>Source!AC53</f>
        <v>5206</v>
      </c>
      <c r="I149" s="151">
        <f>T149</f>
        <v>10412</v>
      </c>
      <c r="J149" s="153">
        <v>12.5</v>
      </c>
      <c r="K149" s="152">
        <f>U149</f>
        <v>130150</v>
      </c>
      <c r="O149" s="26"/>
      <c r="P149" s="26"/>
      <c r="Q149" s="26"/>
      <c r="R149" s="26"/>
      <c r="S149" s="26"/>
      <c r="T149" s="26">
        <f>ROUND(Source!AC53*Source!AW53*Source!I53,2)</f>
        <v>10412</v>
      </c>
      <c r="U149" s="26">
        <f>Source!P53</f>
        <v>130150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>
        <f>T149</f>
        <v>10412</v>
      </c>
      <c r="GK149" s="26"/>
      <c r="GL149" s="26"/>
      <c r="GM149" s="26"/>
      <c r="GN149" s="26">
        <f>T149</f>
        <v>10412</v>
      </c>
      <c r="GO149" s="26"/>
      <c r="GP149" s="26">
        <f>T149</f>
        <v>10412</v>
      </c>
      <c r="GQ149" s="26">
        <f>T149</f>
        <v>10412</v>
      </c>
      <c r="GR149" s="26"/>
      <c r="GS149" s="26">
        <f>T149</f>
        <v>10412</v>
      </c>
      <c r="GT149" s="26"/>
      <c r="GU149" s="26"/>
      <c r="GV149" s="26"/>
      <c r="GW149" s="26">
        <f>ROUND(Source!AG53*Source!I53,2)</f>
        <v>0</v>
      </c>
      <c r="GX149" s="26">
        <f>ROUND(Source!AJ53*Source!I53,2)</f>
        <v>0</v>
      </c>
      <c r="GY149" s="26"/>
      <c r="GZ149" s="26"/>
      <c r="HA149" s="26"/>
      <c r="HB149" s="26">
        <f>T149</f>
        <v>10412</v>
      </c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</row>
    <row r="150" spans="1:255" ht="13.5" thickBot="1" x14ac:dyDescent="0.25">
      <c r="A150" s="155"/>
      <c r="B150" s="156" t="s">
        <v>445</v>
      </c>
      <c r="C150" s="156" t="s">
        <v>446</v>
      </c>
      <c r="D150" s="157"/>
      <c r="E150" s="157"/>
      <c r="F150" s="157"/>
      <c r="G150" s="157"/>
      <c r="H150" s="157"/>
      <c r="I150" s="157"/>
      <c r="J150" s="157"/>
      <c r="K150" s="158"/>
    </row>
    <row r="151" spans="1:255" x14ac:dyDescent="0.2">
      <c r="A151" s="123"/>
      <c r="B151" s="122"/>
      <c r="C151" s="122"/>
      <c r="D151" s="122"/>
      <c r="E151" s="122"/>
      <c r="F151" s="122"/>
      <c r="G151" s="122"/>
      <c r="H151" s="132">
        <f>R151</f>
        <v>10412</v>
      </c>
      <c r="I151" s="133"/>
      <c r="J151" s="132">
        <f>S151</f>
        <v>130150</v>
      </c>
      <c r="K151" s="134"/>
      <c r="O151" s="26"/>
      <c r="P151" s="26"/>
      <c r="Q151" s="26"/>
      <c r="R151" s="26">
        <f>SUM(T149:T150)</f>
        <v>10412</v>
      </c>
      <c r="S151" s="26">
        <f>SUM(U149:U150)</f>
        <v>130150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>
        <f>R151</f>
        <v>10412</v>
      </c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</row>
    <row r="152" spans="1:255" x14ac:dyDescent="0.2">
      <c r="A152" s="147">
        <v>16</v>
      </c>
      <c r="B152" s="154" t="s">
        <v>89</v>
      </c>
      <c r="C152" s="148" t="s">
        <v>96</v>
      </c>
      <c r="D152" s="149" t="s">
        <v>24</v>
      </c>
      <c r="E152" s="150">
        <v>6</v>
      </c>
      <c r="F152" s="151">
        <v>31.77</v>
      </c>
      <c r="G152" s="141"/>
      <c r="H152" s="151">
        <f>Source!AC55</f>
        <v>31.77</v>
      </c>
      <c r="I152" s="151">
        <f>T152</f>
        <v>190.62</v>
      </c>
      <c r="J152" s="153">
        <v>12.5</v>
      </c>
      <c r="K152" s="152">
        <f>U152</f>
        <v>2382.75</v>
      </c>
      <c r="O152" s="26"/>
      <c r="P152" s="26"/>
      <c r="Q152" s="26"/>
      <c r="R152" s="26"/>
      <c r="S152" s="26"/>
      <c r="T152" s="26">
        <f>ROUND(Source!AC55*Source!AW55*Source!I55,2)</f>
        <v>190.62</v>
      </c>
      <c r="U152" s="26">
        <f>Source!P55</f>
        <v>2382.75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>
        <f>T152</f>
        <v>190.62</v>
      </c>
      <c r="GK152" s="26"/>
      <c r="GL152" s="26"/>
      <c r="GM152" s="26"/>
      <c r="GN152" s="26">
        <f>T152</f>
        <v>190.62</v>
      </c>
      <c r="GO152" s="26"/>
      <c r="GP152" s="26">
        <f>T152</f>
        <v>190.62</v>
      </c>
      <c r="GQ152" s="26">
        <f>T152</f>
        <v>190.62</v>
      </c>
      <c r="GR152" s="26"/>
      <c r="GS152" s="26">
        <f>T152</f>
        <v>190.62</v>
      </c>
      <c r="GT152" s="26"/>
      <c r="GU152" s="26"/>
      <c r="GV152" s="26"/>
      <c r="GW152" s="26">
        <f>ROUND(Source!AG55*Source!I55,2)</f>
        <v>0</v>
      </c>
      <c r="GX152" s="26">
        <f>ROUND(Source!AJ55*Source!I55,2)</f>
        <v>0</v>
      </c>
      <c r="GY152" s="26"/>
      <c r="GZ152" s="26"/>
      <c r="HA152" s="26"/>
      <c r="HB152" s="26">
        <f>T152</f>
        <v>190.62</v>
      </c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</row>
    <row r="153" spans="1:255" ht="13.5" thickBot="1" x14ac:dyDescent="0.25">
      <c r="A153" s="155"/>
      <c r="B153" s="156" t="s">
        <v>445</v>
      </c>
      <c r="C153" s="156" t="s">
        <v>447</v>
      </c>
      <c r="D153" s="157"/>
      <c r="E153" s="157"/>
      <c r="F153" s="157"/>
      <c r="G153" s="157"/>
      <c r="H153" s="157"/>
      <c r="I153" s="157"/>
      <c r="J153" s="157"/>
      <c r="K153" s="158"/>
    </row>
    <row r="154" spans="1:255" x14ac:dyDescent="0.2">
      <c r="A154" s="123"/>
      <c r="B154" s="122"/>
      <c r="C154" s="122"/>
      <c r="D154" s="122"/>
      <c r="E154" s="122"/>
      <c r="F154" s="122"/>
      <c r="G154" s="122"/>
      <c r="H154" s="132">
        <f>R154</f>
        <v>190.62</v>
      </c>
      <c r="I154" s="133"/>
      <c r="J154" s="132">
        <f>S154</f>
        <v>2382.75</v>
      </c>
      <c r="K154" s="134"/>
      <c r="O154" s="26"/>
      <c r="P154" s="26"/>
      <c r="Q154" s="26"/>
      <c r="R154" s="26">
        <f>SUM(T152:T153)</f>
        <v>190.62</v>
      </c>
      <c r="S154" s="26">
        <f>SUM(U152:U153)</f>
        <v>2382.75</v>
      </c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>
        <f>R154</f>
        <v>190.62</v>
      </c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</row>
    <row r="155" spans="1:255" x14ac:dyDescent="0.2">
      <c r="A155" s="147">
        <v>17</v>
      </c>
      <c r="B155" s="154" t="s">
        <v>89</v>
      </c>
      <c r="C155" s="148" t="s">
        <v>99</v>
      </c>
      <c r="D155" s="149" t="s">
        <v>24</v>
      </c>
      <c r="E155" s="150">
        <v>2</v>
      </c>
      <c r="F155" s="151">
        <v>1343.62</v>
      </c>
      <c r="G155" s="141"/>
      <c r="H155" s="151">
        <f>Source!AC57</f>
        <v>1343.62</v>
      </c>
      <c r="I155" s="151">
        <f>T155</f>
        <v>2687.24</v>
      </c>
      <c r="J155" s="153">
        <v>12.5</v>
      </c>
      <c r="K155" s="152">
        <f>U155</f>
        <v>33590.5</v>
      </c>
      <c r="O155" s="26"/>
      <c r="P155" s="26"/>
      <c r="Q155" s="26"/>
      <c r="R155" s="26"/>
      <c r="S155" s="26"/>
      <c r="T155" s="26">
        <f>ROUND(Source!AC57*Source!AW57*Source!I57,2)</f>
        <v>2687.24</v>
      </c>
      <c r="U155" s="26">
        <f>Source!P57</f>
        <v>33590.5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>
        <f>T155</f>
        <v>2687.24</v>
      </c>
      <c r="GK155" s="26"/>
      <c r="GL155" s="26"/>
      <c r="GM155" s="26"/>
      <c r="GN155" s="26">
        <f>T155</f>
        <v>2687.24</v>
      </c>
      <c r="GO155" s="26"/>
      <c r="GP155" s="26">
        <f>T155</f>
        <v>2687.24</v>
      </c>
      <c r="GQ155" s="26">
        <f>T155</f>
        <v>2687.24</v>
      </c>
      <c r="GR155" s="26"/>
      <c r="GS155" s="26">
        <f>T155</f>
        <v>2687.24</v>
      </c>
      <c r="GT155" s="26"/>
      <c r="GU155" s="26"/>
      <c r="GV155" s="26"/>
      <c r="GW155" s="26">
        <f>ROUND(Source!AG57*Source!I57,2)</f>
        <v>0</v>
      </c>
      <c r="GX155" s="26">
        <f>ROUND(Source!AJ57*Source!I57,2)</f>
        <v>0</v>
      </c>
      <c r="GY155" s="26"/>
      <c r="GZ155" s="26"/>
      <c r="HA155" s="26"/>
      <c r="HB155" s="26">
        <f>T155</f>
        <v>2687.24</v>
      </c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</row>
    <row r="156" spans="1:255" ht="13.5" thickBot="1" x14ac:dyDescent="0.25">
      <c r="A156" s="155"/>
      <c r="B156" s="156" t="s">
        <v>445</v>
      </c>
      <c r="C156" s="156" t="s">
        <v>448</v>
      </c>
      <c r="D156" s="157"/>
      <c r="E156" s="157"/>
      <c r="F156" s="157"/>
      <c r="G156" s="157"/>
      <c r="H156" s="157"/>
      <c r="I156" s="157"/>
      <c r="J156" s="157"/>
      <c r="K156" s="158"/>
    </row>
    <row r="157" spans="1:255" x14ac:dyDescent="0.2">
      <c r="A157" s="123"/>
      <c r="B157" s="122"/>
      <c r="C157" s="122"/>
      <c r="D157" s="122"/>
      <c r="E157" s="122"/>
      <c r="F157" s="122"/>
      <c r="G157" s="122"/>
      <c r="H157" s="132">
        <f>R157</f>
        <v>2687.24</v>
      </c>
      <c r="I157" s="133"/>
      <c r="J157" s="132">
        <f>S157</f>
        <v>33590.5</v>
      </c>
      <c r="K157" s="134"/>
      <c r="O157" s="26"/>
      <c r="P157" s="26"/>
      <c r="Q157" s="26"/>
      <c r="R157" s="26">
        <f>SUM(T155:T156)</f>
        <v>2687.24</v>
      </c>
      <c r="S157" s="26">
        <f>SUM(U155:U156)</f>
        <v>33590.5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>
        <f>R157</f>
        <v>2687.24</v>
      </c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</row>
    <row r="158" spans="1:255" x14ac:dyDescent="0.2">
      <c r="A158" s="147">
        <v>18</v>
      </c>
      <c r="B158" s="154" t="s">
        <v>89</v>
      </c>
      <c r="C158" s="148" t="s">
        <v>102</v>
      </c>
      <c r="D158" s="149" t="s">
        <v>24</v>
      </c>
      <c r="E158" s="150">
        <v>2</v>
      </c>
      <c r="F158" s="151">
        <v>0.35000000000000003</v>
      </c>
      <c r="G158" s="141"/>
      <c r="H158" s="151">
        <f>Source!AC59</f>
        <v>0.35</v>
      </c>
      <c r="I158" s="151">
        <f>T158</f>
        <v>0.7</v>
      </c>
      <c r="J158" s="153">
        <v>12.5</v>
      </c>
      <c r="K158" s="152">
        <f>U158</f>
        <v>8.75</v>
      </c>
      <c r="O158" s="26"/>
      <c r="P158" s="26"/>
      <c r="Q158" s="26"/>
      <c r="R158" s="26"/>
      <c r="S158" s="26"/>
      <c r="T158" s="26">
        <f>ROUND(Source!AC59*Source!AW59*Source!I59,2)</f>
        <v>0.7</v>
      </c>
      <c r="U158" s="26">
        <f>Source!P59</f>
        <v>8.75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>
        <f>T158</f>
        <v>0.7</v>
      </c>
      <c r="GK158" s="26"/>
      <c r="GL158" s="26"/>
      <c r="GM158" s="26"/>
      <c r="GN158" s="26">
        <f>T158</f>
        <v>0.7</v>
      </c>
      <c r="GO158" s="26"/>
      <c r="GP158" s="26">
        <f>T158</f>
        <v>0.7</v>
      </c>
      <c r="GQ158" s="26">
        <f>T158</f>
        <v>0.7</v>
      </c>
      <c r="GR158" s="26"/>
      <c r="GS158" s="26">
        <f>T158</f>
        <v>0.7</v>
      </c>
      <c r="GT158" s="26"/>
      <c r="GU158" s="26"/>
      <c r="GV158" s="26"/>
      <c r="GW158" s="26">
        <f>ROUND(Source!AG59*Source!I59,2)</f>
        <v>0</v>
      </c>
      <c r="GX158" s="26">
        <f>ROUND(Source!AJ59*Source!I59,2)</f>
        <v>0</v>
      </c>
      <c r="GY158" s="26"/>
      <c r="GZ158" s="26"/>
      <c r="HA158" s="26"/>
      <c r="HB158" s="26">
        <f>T158</f>
        <v>0.7</v>
      </c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</row>
    <row r="159" spans="1:255" ht="13.5" thickBot="1" x14ac:dyDescent="0.25">
      <c r="A159" s="155"/>
      <c r="B159" s="156" t="s">
        <v>445</v>
      </c>
      <c r="C159" s="156" t="s">
        <v>449</v>
      </c>
      <c r="D159" s="157"/>
      <c r="E159" s="157"/>
      <c r="F159" s="157"/>
      <c r="G159" s="157"/>
      <c r="H159" s="157"/>
      <c r="I159" s="157"/>
      <c r="J159" s="157"/>
      <c r="K159" s="158"/>
    </row>
    <row r="160" spans="1:255" x14ac:dyDescent="0.2">
      <c r="A160" s="123"/>
      <c r="B160" s="122"/>
      <c r="C160" s="122"/>
      <c r="D160" s="122"/>
      <c r="E160" s="122"/>
      <c r="F160" s="122"/>
      <c r="G160" s="122"/>
      <c r="H160" s="132">
        <f>R160</f>
        <v>0.7</v>
      </c>
      <c r="I160" s="133"/>
      <c r="J160" s="132">
        <f>S160</f>
        <v>8.75</v>
      </c>
      <c r="K160" s="134"/>
      <c r="O160" s="26"/>
      <c r="P160" s="26"/>
      <c r="Q160" s="26"/>
      <c r="R160" s="26">
        <f>SUM(T158:T159)</f>
        <v>0.7</v>
      </c>
      <c r="S160" s="26">
        <f>SUM(U158:U159)</f>
        <v>8.75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>
        <f>R160</f>
        <v>0.7</v>
      </c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</row>
    <row r="161" spans="1:255" x14ac:dyDescent="0.2">
      <c r="A161" s="147">
        <v>19</v>
      </c>
      <c r="B161" s="154" t="s">
        <v>89</v>
      </c>
      <c r="C161" s="148" t="s">
        <v>105</v>
      </c>
      <c r="D161" s="149" t="s">
        <v>24</v>
      </c>
      <c r="E161" s="150">
        <v>2</v>
      </c>
      <c r="F161" s="151">
        <v>612</v>
      </c>
      <c r="G161" s="141"/>
      <c r="H161" s="151">
        <f>Source!AC61</f>
        <v>612</v>
      </c>
      <c r="I161" s="151">
        <f>T161</f>
        <v>1224</v>
      </c>
      <c r="J161" s="153">
        <v>12.5</v>
      </c>
      <c r="K161" s="152">
        <f>U161</f>
        <v>15300</v>
      </c>
      <c r="O161" s="26"/>
      <c r="P161" s="26"/>
      <c r="Q161" s="26"/>
      <c r="R161" s="26"/>
      <c r="S161" s="26"/>
      <c r="T161" s="26">
        <f>ROUND(Source!AC61*Source!AW61*Source!I61,2)</f>
        <v>1224</v>
      </c>
      <c r="U161" s="26">
        <f>Source!P61</f>
        <v>15300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>
        <f>T161</f>
        <v>1224</v>
      </c>
      <c r="GK161" s="26"/>
      <c r="GL161" s="26"/>
      <c r="GM161" s="26"/>
      <c r="GN161" s="26">
        <f>T161</f>
        <v>1224</v>
      </c>
      <c r="GO161" s="26"/>
      <c r="GP161" s="26">
        <f>T161</f>
        <v>1224</v>
      </c>
      <c r="GQ161" s="26">
        <f>T161</f>
        <v>1224</v>
      </c>
      <c r="GR161" s="26"/>
      <c r="GS161" s="26">
        <f>T161</f>
        <v>1224</v>
      </c>
      <c r="GT161" s="26"/>
      <c r="GU161" s="26"/>
      <c r="GV161" s="26"/>
      <c r="GW161" s="26">
        <f>ROUND(Source!AG61*Source!I61,2)</f>
        <v>0</v>
      </c>
      <c r="GX161" s="26">
        <f>ROUND(Source!AJ61*Source!I61,2)</f>
        <v>0</v>
      </c>
      <c r="GY161" s="26"/>
      <c r="GZ161" s="26"/>
      <c r="HA161" s="26"/>
      <c r="HB161" s="26">
        <f>T161</f>
        <v>1224</v>
      </c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</row>
    <row r="162" spans="1:255" ht="13.5" thickBot="1" x14ac:dyDescent="0.25">
      <c r="A162" s="155"/>
      <c r="B162" s="156" t="s">
        <v>445</v>
      </c>
      <c r="C162" s="156" t="s">
        <v>450</v>
      </c>
      <c r="D162" s="157"/>
      <c r="E162" s="157"/>
      <c r="F162" s="157"/>
      <c r="G162" s="157"/>
      <c r="H162" s="157"/>
      <c r="I162" s="157"/>
      <c r="J162" s="157"/>
      <c r="K162" s="158"/>
    </row>
    <row r="163" spans="1:255" x14ac:dyDescent="0.2">
      <c r="A163" s="123"/>
      <c r="B163" s="122"/>
      <c r="C163" s="122"/>
      <c r="D163" s="122"/>
      <c r="E163" s="122"/>
      <c r="F163" s="122"/>
      <c r="G163" s="122"/>
      <c r="H163" s="132">
        <f>R163</f>
        <v>1224</v>
      </c>
      <c r="I163" s="133"/>
      <c r="J163" s="132">
        <f>S163</f>
        <v>15300</v>
      </c>
      <c r="K163" s="134"/>
      <c r="O163" s="26"/>
      <c r="P163" s="26"/>
      <c r="Q163" s="26"/>
      <c r="R163" s="26">
        <f>SUM(T161:T162)</f>
        <v>1224</v>
      </c>
      <c r="S163" s="26">
        <f>SUM(U161:U162)</f>
        <v>15300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>
        <f>R163</f>
        <v>1224</v>
      </c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</row>
    <row r="164" spans="1:255" x14ac:dyDescent="0.2">
      <c r="A164" s="147">
        <v>20</v>
      </c>
      <c r="B164" s="154" t="s">
        <v>89</v>
      </c>
      <c r="C164" s="148" t="s">
        <v>108</v>
      </c>
      <c r="D164" s="149" t="s">
        <v>24</v>
      </c>
      <c r="E164" s="150">
        <v>2</v>
      </c>
      <c r="F164" s="151">
        <v>122.4</v>
      </c>
      <c r="G164" s="141"/>
      <c r="H164" s="151">
        <f>Source!AC63</f>
        <v>122.4</v>
      </c>
      <c r="I164" s="151">
        <f>T164</f>
        <v>244.8</v>
      </c>
      <c r="J164" s="153">
        <v>12.5</v>
      </c>
      <c r="K164" s="152">
        <f>U164</f>
        <v>3060</v>
      </c>
      <c r="O164" s="26"/>
      <c r="P164" s="26"/>
      <c r="Q164" s="26"/>
      <c r="R164" s="26"/>
      <c r="S164" s="26"/>
      <c r="T164" s="26">
        <f>ROUND(Source!AC63*Source!AW63*Source!I63,2)</f>
        <v>244.8</v>
      </c>
      <c r="U164" s="26">
        <f>Source!P63</f>
        <v>3060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>
        <f>T164</f>
        <v>244.8</v>
      </c>
      <c r="GK164" s="26"/>
      <c r="GL164" s="26"/>
      <c r="GM164" s="26"/>
      <c r="GN164" s="26">
        <f>T164</f>
        <v>244.8</v>
      </c>
      <c r="GO164" s="26"/>
      <c r="GP164" s="26">
        <f>T164</f>
        <v>244.8</v>
      </c>
      <c r="GQ164" s="26">
        <f>T164</f>
        <v>244.8</v>
      </c>
      <c r="GR164" s="26"/>
      <c r="GS164" s="26">
        <f>T164</f>
        <v>244.8</v>
      </c>
      <c r="GT164" s="26"/>
      <c r="GU164" s="26"/>
      <c r="GV164" s="26"/>
      <c r="GW164" s="26">
        <f>ROUND(Source!AG63*Source!I63,2)</f>
        <v>0</v>
      </c>
      <c r="GX164" s="26">
        <f>ROUND(Source!AJ63*Source!I63,2)</f>
        <v>0</v>
      </c>
      <c r="GY164" s="26"/>
      <c r="GZ164" s="26"/>
      <c r="HA164" s="26"/>
      <c r="HB164" s="26">
        <f>T164</f>
        <v>244.8</v>
      </c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</row>
    <row r="165" spans="1:255" ht="13.5" thickBot="1" x14ac:dyDescent="0.25">
      <c r="A165" s="155"/>
      <c r="B165" s="156" t="s">
        <v>445</v>
      </c>
      <c r="C165" s="156" t="s">
        <v>451</v>
      </c>
      <c r="D165" s="157"/>
      <c r="E165" s="157"/>
      <c r="F165" s="157"/>
      <c r="G165" s="157"/>
      <c r="H165" s="157"/>
      <c r="I165" s="157"/>
      <c r="J165" s="157"/>
      <c r="K165" s="158"/>
    </row>
    <row r="166" spans="1:255" x14ac:dyDescent="0.2">
      <c r="A166" s="123"/>
      <c r="B166" s="122"/>
      <c r="C166" s="122"/>
      <c r="D166" s="122"/>
      <c r="E166" s="122"/>
      <c r="F166" s="122"/>
      <c r="G166" s="122"/>
      <c r="H166" s="132">
        <f>R166</f>
        <v>244.8</v>
      </c>
      <c r="I166" s="133"/>
      <c r="J166" s="132">
        <f>S166</f>
        <v>3060</v>
      </c>
      <c r="K166" s="134"/>
      <c r="O166" s="26"/>
      <c r="P166" s="26"/>
      <c r="Q166" s="26"/>
      <c r="R166" s="26">
        <f>SUM(T164:T165)</f>
        <v>244.8</v>
      </c>
      <c r="S166" s="26">
        <f>SUM(U164:U165)</f>
        <v>3060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>
        <f>R166</f>
        <v>244.8</v>
      </c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</row>
    <row r="167" spans="1:255" x14ac:dyDescent="0.2">
      <c r="A167" s="147">
        <v>21</v>
      </c>
      <c r="B167" s="154" t="s">
        <v>89</v>
      </c>
      <c r="C167" s="148" t="s">
        <v>111</v>
      </c>
      <c r="D167" s="149" t="s">
        <v>24</v>
      </c>
      <c r="E167" s="150">
        <v>2</v>
      </c>
      <c r="F167" s="151">
        <v>239.57999999999998</v>
      </c>
      <c r="G167" s="141"/>
      <c r="H167" s="151">
        <f>Source!AC65</f>
        <v>239.58</v>
      </c>
      <c r="I167" s="151">
        <f>T167</f>
        <v>479.16</v>
      </c>
      <c r="J167" s="153">
        <v>12.5</v>
      </c>
      <c r="K167" s="152">
        <f>U167</f>
        <v>5989.5</v>
      </c>
      <c r="O167" s="26"/>
      <c r="P167" s="26"/>
      <c r="Q167" s="26"/>
      <c r="R167" s="26"/>
      <c r="S167" s="26"/>
      <c r="T167" s="26">
        <f>ROUND(Source!AC65*Source!AW65*Source!I65,2)</f>
        <v>479.16</v>
      </c>
      <c r="U167" s="26">
        <f>Source!P65</f>
        <v>5989.5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>
        <f>T167</f>
        <v>479.16</v>
      </c>
      <c r="GK167" s="26"/>
      <c r="GL167" s="26"/>
      <c r="GM167" s="26"/>
      <c r="GN167" s="26">
        <f>T167</f>
        <v>479.16</v>
      </c>
      <c r="GO167" s="26"/>
      <c r="GP167" s="26">
        <f>T167</f>
        <v>479.16</v>
      </c>
      <c r="GQ167" s="26">
        <f>T167</f>
        <v>479.16</v>
      </c>
      <c r="GR167" s="26"/>
      <c r="GS167" s="26">
        <f>T167</f>
        <v>479.16</v>
      </c>
      <c r="GT167" s="26"/>
      <c r="GU167" s="26"/>
      <c r="GV167" s="26"/>
      <c r="GW167" s="26">
        <f>ROUND(Source!AG65*Source!I65,2)</f>
        <v>0</v>
      </c>
      <c r="GX167" s="26">
        <f>ROUND(Source!AJ65*Source!I65,2)</f>
        <v>0</v>
      </c>
      <c r="GY167" s="26"/>
      <c r="GZ167" s="26"/>
      <c r="HA167" s="26"/>
      <c r="HB167" s="26">
        <f>T167</f>
        <v>479.16</v>
      </c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</row>
    <row r="168" spans="1:255" ht="13.5" thickBot="1" x14ac:dyDescent="0.25">
      <c r="A168" s="155"/>
      <c r="B168" s="156" t="s">
        <v>445</v>
      </c>
      <c r="C168" s="156" t="s">
        <v>452</v>
      </c>
      <c r="D168" s="157"/>
      <c r="E168" s="157"/>
      <c r="F168" s="157"/>
      <c r="G168" s="157"/>
      <c r="H168" s="157"/>
      <c r="I168" s="157"/>
      <c r="J168" s="157"/>
      <c r="K168" s="158"/>
    </row>
    <row r="169" spans="1:255" x14ac:dyDescent="0.2">
      <c r="A169" s="123"/>
      <c r="B169" s="122"/>
      <c r="C169" s="122"/>
      <c r="D169" s="122"/>
      <c r="E169" s="122"/>
      <c r="F169" s="122"/>
      <c r="G169" s="122"/>
      <c r="H169" s="132">
        <f>R169</f>
        <v>479.16</v>
      </c>
      <c r="I169" s="133"/>
      <c r="J169" s="132">
        <f>S169</f>
        <v>5989.5</v>
      </c>
      <c r="K169" s="134"/>
      <c r="O169" s="26"/>
      <c r="P169" s="26"/>
      <c r="Q169" s="26"/>
      <c r="R169" s="26">
        <f>SUM(T167:T168)</f>
        <v>479.16</v>
      </c>
      <c r="S169" s="26">
        <f>SUM(U167:U168)</f>
        <v>5989.5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>
        <f>R169</f>
        <v>479.16</v>
      </c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</row>
    <row r="170" spans="1:255" x14ac:dyDescent="0.2">
      <c r="A170" s="147">
        <v>22</v>
      </c>
      <c r="B170" s="154" t="s">
        <v>89</v>
      </c>
      <c r="C170" s="148" t="s">
        <v>114</v>
      </c>
      <c r="D170" s="149" t="s">
        <v>24</v>
      </c>
      <c r="E170" s="150">
        <v>2</v>
      </c>
      <c r="F170" s="151">
        <v>247.9</v>
      </c>
      <c r="G170" s="141"/>
      <c r="H170" s="151">
        <f>Source!AC67</f>
        <v>247.9</v>
      </c>
      <c r="I170" s="151">
        <f>T170</f>
        <v>495.8</v>
      </c>
      <c r="J170" s="153">
        <v>12.5</v>
      </c>
      <c r="K170" s="152">
        <f>U170</f>
        <v>6197.5</v>
      </c>
      <c r="O170" s="26"/>
      <c r="P170" s="26"/>
      <c r="Q170" s="26"/>
      <c r="R170" s="26"/>
      <c r="S170" s="26"/>
      <c r="T170" s="26">
        <f>ROUND(Source!AC67*Source!AW67*Source!I67,2)</f>
        <v>495.8</v>
      </c>
      <c r="U170" s="26">
        <f>Source!P67</f>
        <v>6197.5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>
        <f>T170</f>
        <v>495.8</v>
      </c>
      <c r="GK170" s="26"/>
      <c r="GL170" s="26"/>
      <c r="GM170" s="26"/>
      <c r="GN170" s="26">
        <f>T170</f>
        <v>495.8</v>
      </c>
      <c r="GO170" s="26"/>
      <c r="GP170" s="26">
        <f>T170</f>
        <v>495.8</v>
      </c>
      <c r="GQ170" s="26">
        <f>T170</f>
        <v>495.8</v>
      </c>
      <c r="GR170" s="26"/>
      <c r="GS170" s="26">
        <f>T170</f>
        <v>495.8</v>
      </c>
      <c r="GT170" s="26"/>
      <c r="GU170" s="26"/>
      <c r="GV170" s="26"/>
      <c r="GW170" s="26">
        <f>ROUND(Source!AG67*Source!I67,2)</f>
        <v>0</v>
      </c>
      <c r="GX170" s="26">
        <f>ROUND(Source!AJ67*Source!I67,2)</f>
        <v>0</v>
      </c>
      <c r="GY170" s="26"/>
      <c r="GZ170" s="26"/>
      <c r="HA170" s="26"/>
      <c r="HB170" s="26">
        <f>T170</f>
        <v>495.8</v>
      </c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</row>
    <row r="171" spans="1:255" ht="13.5" thickBot="1" x14ac:dyDescent="0.25">
      <c r="A171" s="155"/>
      <c r="B171" s="156" t="s">
        <v>445</v>
      </c>
      <c r="C171" s="156" t="s">
        <v>453</v>
      </c>
      <c r="D171" s="157"/>
      <c r="E171" s="157"/>
      <c r="F171" s="157"/>
      <c r="G171" s="157"/>
      <c r="H171" s="157"/>
      <c r="I171" s="157"/>
      <c r="J171" s="157"/>
      <c r="K171" s="158"/>
    </row>
    <row r="172" spans="1:255" x14ac:dyDescent="0.2">
      <c r="A172" s="123"/>
      <c r="B172" s="122"/>
      <c r="C172" s="122"/>
      <c r="D172" s="122"/>
      <c r="E172" s="122"/>
      <c r="F172" s="122"/>
      <c r="G172" s="122"/>
      <c r="H172" s="132">
        <f>R172</f>
        <v>495.8</v>
      </c>
      <c r="I172" s="133"/>
      <c r="J172" s="132">
        <f>S172</f>
        <v>6197.5</v>
      </c>
      <c r="K172" s="134"/>
      <c r="O172" s="26"/>
      <c r="P172" s="26"/>
      <c r="Q172" s="26"/>
      <c r="R172" s="26">
        <f>SUM(T170:T171)</f>
        <v>495.8</v>
      </c>
      <c r="S172" s="26">
        <f>SUM(U170:U171)</f>
        <v>6197.5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>
        <f>R172</f>
        <v>495.8</v>
      </c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</row>
    <row r="173" spans="1:255" x14ac:dyDescent="0.2">
      <c r="A173" s="147">
        <v>23</v>
      </c>
      <c r="B173" s="154" t="s">
        <v>89</v>
      </c>
      <c r="C173" s="148" t="s">
        <v>117</v>
      </c>
      <c r="D173" s="149" t="s">
        <v>24</v>
      </c>
      <c r="E173" s="150">
        <v>2</v>
      </c>
      <c r="F173" s="151">
        <v>81.27000000000001</v>
      </c>
      <c r="G173" s="141"/>
      <c r="H173" s="151">
        <f>Source!AC69</f>
        <v>81.27</v>
      </c>
      <c r="I173" s="151">
        <f>T173</f>
        <v>162.54</v>
      </c>
      <c r="J173" s="153">
        <v>12.5</v>
      </c>
      <c r="K173" s="152">
        <f>U173</f>
        <v>2031.75</v>
      </c>
      <c r="O173" s="26"/>
      <c r="P173" s="26"/>
      <c r="Q173" s="26"/>
      <c r="R173" s="26"/>
      <c r="S173" s="26"/>
      <c r="T173" s="26">
        <f>ROUND(Source!AC69*Source!AW69*Source!I69,2)</f>
        <v>162.54</v>
      </c>
      <c r="U173" s="26">
        <f>Source!P69</f>
        <v>2031.75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>
        <f>T173</f>
        <v>162.54</v>
      </c>
      <c r="GK173" s="26"/>
      <c r="GL173" s="26"/>
      <c r="GM173" s="26"/>
      <c r="GN173" s="26">
        <f>T173</f>
        <v>162.54</v>
      </c>
      <c r="GO173" s="26"/>
      <c r="GP173" s="26">
        <f>T173</f>
        <v>162.54</v>
      </c>
      <c r="GQ173" s="26">
        <f>T173</f>
        <v>162.54</v>
      </c>
      <c r="GR173" s="26"/>
      <c r="GS173" s="26">
        <f>T173</f>
        <v>162.54</v>
      </c>
      <c r="GT173" s="26"/>
      <c r="GU173" s="26"/>
      <c r="GV173" s="26"/>
      <c r="GW173" s="26">
        <f>ROUND(Source!AG69*Source!I69,2)</f>
        <v>0</v>
      </c>
      <c r="GX173" s="26">
        <f>ROUND(Source!AJ69*Source!I69,2)</f>
        <v>0</v>
      </c>
      <c r="GY173" s="26"/>
      <c r="GZ173" s="26"/>
      <c r="HA173" s="26"/>
      <c r="HB173" s="26">
        <f>T173</f>
        <v>162.54</v>
      </c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</row>
    <row r="174" spans="1:255" ht="13.5" thickBot="1" x14ac:dyDescent="0.25">
      <c r="A174" s="155"/>
      <c r="B174" s="156" t="s">
        <v>445</v>
      </c>
      <c r="C174" s="156" t="s">
        <v>454</v>
      </c>
      <c r="D174" s="157"/>
      <c r="E174" s="157"/>
      <c r="F174" s="157"/>
      <c r="G174" s="157"/>
      <c r="H174" s="157"/>
      <c r="I174" s="157"/>
      <c r="J174" s="157"/>
      <c r="K174" s="158"/>
    </row>
    <row r="175" spans="1:255" x14ac:dyDescent="0.2">
      <c r="A175" s="123"/>
      <c r="B175" s="122"/>
      <c r="C175" s="122"/>
      <c r="D175" s="122"/>
      <c r="E175" s="122"/>
      <c r="F175" s="122"/>
      <c r="G175" s="122"/>
      <c r="H175" s="132">
        <f>R175</f>
        <v>162.54</v>
      </c>
      <c r="I175" s="133"/>
      <c r="J175" s="132">
        <f>S175</f>
        <v>2031.75</v>
      </c>
      <c r="K175" s="134"/>
      <c r="O175" s="26"/>
      <c r="P175" s="26"/>
      <c r="Q175" s="26"/>
      <c r="R175" s="26">
        <f>SUM(T173:T174)</f>
        <v>162.54</v>
      </c>
      <c r="S175" s="26">
        <f>SUM(U173:U174)</f>
        <v>2031.75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>
        <f>R175</f>
        <v>162.54</v>
      </c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</row>
    <row r="176" spans="1:255" x14ac:dyDescent="0.2">
      <c r="A176" s="147">
        <v>24</v>
      </c>
      <c r="B176" s="154" t="s">
        <v>89</v>
      </c>
      <c r="C176" s="148" t="s">
        <v>120</v>
      </c>
      <c r="D176" s="149" t="s">
        <v>24</v>
      </c>
      <c r="E176" s="150">
        <v>2</v>
      </c>
      <c r="F176" s="151">
        <v>209.22</v>
      </c>
      <c r="G176" s="141"/>
      <c r="H176" s="151">
        <f>Source!AC71</f>
        <v>209.22</v>
      </c>
      <c r="I176" s="151">
        <f>T176</f>
        <v>418.44</v>
      </c>
      <c r="J176" s="153">
        <v>12.5</v>
      </c>
      <c r="K176" s="152">
        <f>U176</f>
        <v>5230.5</v>
      </c>
      <c r="O176" s="26"/>
      <c r="P176" s="26"/>
      <c r="Q176" s="26"/>
      <c r="R176" s="26"/>
      <c r="S176" s="26"/>
      <c r="T176" s="26">
        <f>ROUND(Source!AC71*Source!AW71*Source!I71,2)</f>
        <v>418.44</v>
      </c>
      <c r="U176" s="26">
        <f>Source!P71</f>
        <v>5230.5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>
        <f>T176</f>
        <v>418.44</v>
      </c>
      <c r="GK176" s="26"/>
      <c r="GL176" s="26"/>
      <c r="GM176" s="26"/>
      <c r="GN176" s="26">
        <f>T176</f>
        <v>418.44</v>
      </c>
      <c r="GO176" s="26"/>
      <c r="GP176" s="26">
        <f>T176</f>
        <v>418.44</v>
      </c>
      <c r="GQ176" s="26">
        <f>T176</f>
        <v>418.44</v>
      </c>
      <c r="GR176" s="26"/>
      <c r="GS176" s="26">
        <f>T176</f>
        <v>418.44</v>
      </c>
      <c r="GT176" s="26"/>
      <c r="GU176" s="26"/>
      <c r="GV176" s="26"/>
      <c r="GW176" s="26">
        <f>ROUND(Source!AG71*Source!I71,2)</f>
        <v>0</v>
      </c>
      <c r="GX176" s="26">
        <f>ROUND(Source!AJ71*Source!I71,2)</f>
        <v>0</v>
      </c>
      <c r="GY176" s="26"/>
      <c r="GZ176" s="26"/>
      <c r="HA176" s="26"/>
      <c r="HB176" s="26">
        <f>T176</f>
        <v>418.44</v>
      </c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</row>
    <row r="177" spans="1:255" ht="13.5" thickBot="1" x14ac:dyDescent="0.25">
      <c r="A177" s="155"/>
      <c r="B177" s="156" t="s">
        <v>445</v>
      </c>
      <c r="C177" s="156" t="s">
        <v>455</v>
      </c>
      <c r="D177" s="157"/>
      <c r="E177" s="157"/>
      <c r="F177" s="157"/>
      <c r="G177" s="157"/>
      <c r="H177" s="157"/>
      <c r="I177" s="157"/>
      <c r="J177" s="157"/>
      <c r="K177" s="158"/>
    </row>
    <row r="178" spans="1:255" x14ac:dyDescent="0.2">
      <c r="A178" s="123"/>
      <c r="B178" s="122"/>
      <c r="C178" s="122"/>
      <c r="D178" s="122"/>
      <c r="E178" s="122"/>
      <c r="F178" s="122"/>
      <c r="G178" s="122"/>
      <c r="H178" s="132">
        <f>R178</f>
        <v>418.44</v>
      </c>
      <c r="I178" s="133"/>
      <c r="J178" s="132">
        <f>S178</f>
        <v>5230.5</v>
      </c>
      <c r="K178" s="134"/>
      <c r="O178" s="26"/>
      <c r="P178" s="26"/>
      <c r="Q178" s="26"/>
      <c r="R178" s="26">
        <f>SUM(T176:T177)</f>
        <v>418.44</v>
      </c>
      <c r="S178" s="26">
        <f>SUM(U176:U177)</f>
        <v>5230.5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>
        <f>R178</f>
        <v>418.44</v>
      </c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</row>
    <row r="179" spans="1:255" x14ac:dyDescent="0.2">
      <c r="A179" s="147">
        <v>25</v>
      </c>
      <c r="B179" s="154" t="s">
        <v>89</v>
      </c>
      <c r="C179" s="148" t="s">
        <v>123</v>
      </c>
      <c r="D179" s="149" t="s">
        <v>24</v>
      </c>
      <c r="E179" s="150">
        <v>2</v>
      </c>
      <c r="F179" s="151">
        <v>27.34</v>
      </c>
      <c r="G179" s="141"/>
      <c r="H179" s="151">
        <f>Source!AC73</f>
        <v>27.34</v>
      </c>
      <c r="I179" s="151">
        <f>T179</f>
        <v>54.68</v>
      </c>
      <c r="J179" s="153">
        <v>12.5</v>
      </c>
      <c r="K179" s="152">
        <f>U179</f>
        <v>683.5</v>
      </c>
      <c r="O179" s="26"/>
      <c r="P179" s="26"/>
      <c r="Q179" s="26"/>
      <c r="R179" s="26"/>
      <c r="S179" s="26"/>
      <c r="T179" s="26">
        <f>ROUND(Source!AC73*Source!AW73*Source!I73,2)</f>
        <v>54.68</v>
      </c>
      <c r="U179" s="26">
        <f>Source!P73</f>
        <v>683.5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>
        <f>T179</f>
        <v>54.68</v>
      </c>
      <c r="GK179" s="26"/>
      <c r="GL179" s="26"/>
      <c r="GM179" s="26"/>
      <c r="GN179" s="26">
        <f>T179</f>
        <v>54.68</v>
      </c>
      <c r="GO179" s="26"/>
      <c r="GP179" s="26">
        <f>T179</f>
        <v>54.68</v>
      </c>
      <c r="GQ179" s="26">
        <f>T179</f>
        <v>54.68</v>
      </c>
      <c r="GR179" s="26"/>
      <c r="GS179" s="26">
        <f>T179</f>
        <v>54.68</v>
      </c>
      <c r="GT179" s="26"/>
      <c r="GU179" s="26"/>
      <c r="GV179" s="26"/>
      <c r="GW179" s="26">
        <f>ROUND(Source!AG73*Source!I73,2)</f>
        <v>0</v>
      </c>
      <c r="GX179" s="26">
        <f>ROUND(Source!AJ73*Source!I73,2)</f>
        <v>0</v>
      </c>
      <c r="GY179" s="26"/>
      <c r="GZ179" s="26"/>
      <c r="HA179" s="26"/>
      <c r="HB179" s="26">
        <f>T179</f>
        <v>54.68</v>
      </c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</row>
    <row r="180" spans="1:255" ht="13.5" thickBot="1" x14ac:dyDescent="0.25">
      <c r="A180" s="155"/>
      <c r="B180" s="156" t="s">
        <v>445</v>
      </c>
      <c r="C180" s="156" t="s">
        <v>456</v>
      </c>
      <c r="D180" s="157"/>
      <c r="E180" s="157"/>
      <c r="F180" s="157"/>
      <c r="G180" s="157"/>
      <c r="H180" s="157"/>
      <c r="I180" s="157"/>
      <c r="J180" s="157"/>
      <c r="K180" s="158"/>
    </row>
    <row r="181" spans="1:255" x14ac:dyDescent="0.2">
      <c r="A181" s="123"/>
      <c r="B181" s="122"/>
      <c r="C181" s="122"/>
      <c r="D181" s="122"/>
      <c r="E181" s="122"/>
      <c r="F181" s="122"/>
      <c r="G181" s="122"/>
      <c r="H181" s="132">
        <f>R181</f>
        <v>54.68</v>
      </c>
      <c r="I181" s="133"/>
      <c r="J181" s="132">
        <f>S181</f>
        <v>683.5</v>
      </c>
      <c r="K181" s="134"/>
      <c r="O181" s="26"/>
      <c r="P181" s="26"/>
      <c r="Q181" s="26"/>
      <c r="R181" s="26">
        <f>SUM(T179:T180)</f>
        <v>54.68</v>
      </c>
      <c r="S181" s="26">
        <f>SUM(U179:U180)</f>
        <v>683.5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>
        <f>R181</f>
        <v>54.68</v>
      </c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</row>
    <row r="182" spans="1:255" x14ac:dyDescent="0.2">
      <c r="A182" s="147">
        <v>26</v>
      </c>
      <c r="B182" s="154" t="s">
        <v>89</v>
      </c>
      <c r="C182" s="148" t="s">
        <v>126</v>
      </c>
      <c r="D182" s="149" t="s">
        <v>24</v>
      </c>
      <c r="E182" s="150">
        <v>2</v>
      </c>
      <c r="F182" s="151">
        <v>39.410000000000004</v>
      </c>
      <c r="G182" s="141"/>
      <c r="H182" s="151">
        <f>Source!AC75</f>
        <v>39.409999999999997</v>
      </c>
      <c r="I182" s="151">
        <f>T182</f>
        <v>78.819999999999993</v>
      </c>
      <c r="J182" s="153">
        <v>12.5</v>
      </c>
      <c r="K182" s="152">
        <f>U182</f>
        <v>985.25</v>
      </c>
      <c r="O182" s="26"/>
      <c r="P182" s="26"/>
      <c r="Q182" s="26"/>
      <c r="R182" s="26"/>
      <c r="S182" s="26"/>
      <c r="T182" s="26">
        <f>ROUND(Source!AC75*Source!AW75*Source!I75,2)</f>
        <v>78.819999999999993</v>
      </c>
      <c r="U182" s="26">
        <f>Source!P75</f>
        <v>985.25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>
        <f>T182</f>
        <v>78.819999999999993</v>
      </c>
      <c r="GK182" s="26"/>
      <c r="GL182" s="26"/>
      <c r="GM182" s="26"/>
      <c r="GN182" s="26">
        <f>T182</f>
        <v>78.819999999999993</v>
      </c>
      <c r="GO182" s="26"/>
      <c r="GP182" s="26">
        <f>T182</f>
        <v>78.819999999999993</v>
      </c>
      <c r="GQ182" s="26">
        <f>T182</f>
        <v>78.819999999999993</v>
      </c>
      <c r="GR182" s="26"/>
      <c r="GS182" s="26">
        <f>T182</f>
        <v>78.819999999999993</v>
      </c>
      <c r="GT182" s="26"/>
      <c r="GU182" s="26"/>
      <c r="GV182" s="26"/>
      <c r="GW182" s="26">
        <f>ROUND(Source!AG75*Source!I75,2)</f>
        <v>0</v>
      </c>
      <c r="GX182" s="26">
        <f>ROUND(Source!AJ75*Source!I75,2)</f>
        <v>0</v>
      </c>
      <c r="GY182" s="26"/>
      <c r="GZ182" s="26"/>
      <c r="HA182" s="26"/>
      <c r="HB182" s="26">
        <f>T182</f>
        <v>78.819999999999993</v>
      </c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</row>
    <row r="183" spans="1:255" ht="13.5" thickBot="1" x14ac:dyDescent="0.25">
      <c r="A183" s="155"/>
      <c r="B183" s="156" t="s">
        <v>445</v>
      </c>
      <c r="C183" s="156" t="s">
        <v>457</v>
      </c>
      <c r="D183" s="157"/>
      <c r="E183" s="157"/>
      <c r="F183" s="157"/>
      <c r="G183" s="157"/>
      <c r="H183" s="157"/>
      <c r="I183" s="157"/>
      <c r="J183" s="157"/>
      <c r="K183" s="158"/>
    </row>
    <row r="184" spans="1:255" x14ac:dyDescent="0.2">
      <c r="A184" s="123"/>
      <c r="B184" s="122"/>
      <c r="C184" s="122"/>
      <c r="D184" s="122"/>
      <c r="E184" s="122"/>
      <c r="F184" s="122"/>
      <c r="G184" s="122"/>
      <c r="H184" s="132">
        <f>R184</f>
        <v>78.819999999999993</v>
      </c>
      <c r="I184" s="133"/>
      <c r="J184" s="132">
        <f>S184</f>
        <v>985.25</v>
      </c>
      <c r="K184" s="134"/>
      <c r="O184" s="26"/>
      <c r="P184" s="26"/>
      <c r="Q184" s="26"/>
      <c r="R184" s="26">
        <f>SUM(T182:T183)</f>
        <v>78.819999999999993</v>
      </c>
      <c r="S184" s="26">
        <f>SUM(U182:U183)</f>
        <v>985.25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>
        <f>R184</f>
        <v>78.819999999999993</v>
      </c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</row>
    <row r="185" spans="1:255" x14ac:dyDescent="0.2">
      <c r="A185" s="147">
        <v>27</v>
      </c>
      <c r="B185" s="154" t="s">
        <v>89</v>
      </c>
      <c r="C185" s="148" t="s">
        <v>129</v>
      </c>
      <c r="D185" s="149" t="s">
        <v>24</v>
      </c>
      <c r="E185" s="150">
        <v>2</v>
      </c>
      <c r="F185" s="151">
        <v>150.96</v>
      </c>
      <c r="G185" s="141"/>
      <c r="H185" s="151">
        <f>Source!AC77</f>
        <v>150.96</v>
      </c>
      <c r="I185" s="151">
        <f>T185</f>
        <v>301.92</v>
      </c>
      <c r="J185" s="153">
        <v>12.5</v>
      </c>
      <c r="K185" s="152">
        <f>U185</f>
        <v>3774</v>
      </c>
      <c r="O185" s="26"/>
      <c r="P185" s="26"/>
      <c r="Q185" s="26"/>
      <c r="R185" s="26"/>
      <c r="S185" s="26"/>
      <c r="T185" s="26">
        <f>ROUND(Source!AC77*Source!AW77*Source!I77,2)</f>
        <v>301.92</v>
      </c>
      <c r="U185" s="26">
        <f>Source!P77</f>
        <v>3774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>
        <f>T185</f>
        <v>301.92</v>
      </c>
      <c r="GK185" s="26"/>
      <c r="GL185" s="26"/>
      <c r="GM185" s="26"/>
      <c r="GN185" s="26">
        <f>T185</f>
        <v>301.92</v>
      </c>
      <c r="GO185" s="26"/>
      <c r="GP185" s="26">
        <f>T185</f>
        <v>301.92</v>
      </c>
      <c r="GQ185" s="26">
        <f>T185</f>
        <v>301.92</v>
      </c>
      <c r="GR185" s="26"/>
      <c r="GS185" s="26">
        <f>T185</f>
        <v>301.92</v>
      </c>
      <c r="GT185" s="26"/>
      <c r="GU185" s="26"/>
      <c r="GV185" s="26"/>
      <c r="GW185" s="26">
        <f>ROUND(Source!AG77*Source!I77,2)</f>
        <v>0</v>
      </c>
      <c r="GX185" s="26">
        <f>ROUND(Source!AJ77*Source!I77,2)</f>
        <v>0</v>
      </c>
      <c r="GY185" s="26"/>
      <c r="GZ185" s="26"/>
      <c r="HA185" s="26"/>
      <c r="HB185" s="26">
        <f>T185</f>
        <v>301.92</v>
      </c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</row>
    <row r="186" spans="1:255" ht="13.5" thickBot="1" x14ac:dyDescent="0.25">
      <c r="A186" s="155"/>
      <c r="B186" s="156" t="s">
        <v>445</v>
      </c>
      <c r="C186" s="156" t="s">
        <v>458</v>
      </c>
      <c r="D186" s="157"/>
      <c r="E186" s="157"/>
      <c r="F186" s="157"/>
      <c r="G186" s="157"/>
      <c r="H186" s="157"/>
      <c r="I186" s="157"/>
      <c r="J186" s="157"/>
      <c r="K186" s="158"/>
    </row>
    <row r="187" spans="1:255" x14ac:dyDescent="0.2">
      <c r="A187" s="123"/>
      <c r="B187" s="122"/>
      <c r="C187" s="122"/>
      <c r="D187" s="122"/>
      <c r="E187" s="122"/>
      <c r="F187" s="122"/>
      <c r="G187" s="122"/>
      <c r="H187" s="132">
        <f>R187</f>
        <v>301.92</v>
      </c>
      <c r="I187" s="133"/>
      <c r="J187" s="132">
        <f>S187</f>
        <v>3774</v>
      </c>
      <c r="K187" s="134"/>
      <c r="O187" s="26"/>
      <c r="P187" s="26"/>
      <c r="Q187" s="26"/>
      <c r="R187" s="26">
        <f>SUM(T185:T186)</f>
        <v>301.92</v>
      </c>
      <c r="S187" s="26">
        <f>SUM(U185:U186)</f>
        <v>3774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>
        <f>R187</f>
        <v>301.92</v>
      </c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</row>
    <row r="188" spans="1:255" x14ac:dyDescent="0.2">
      <c r="A188" s="147">
        <v>28</v>
      </c>
      <c r="B188" s="154" t="s">
        <v>89</v>
      </c>
      <c r="C188" s="148" t="s">
        <v>132</v>
      </c>
      <c r="D188" s="149" t="s">
        <v>24</v>
      </c>
      <c r="E188" s="150">
        <v>2</v>
      </c>
      <c r="F188" s="151">
        <v>8452.94</v>
      </c>
      <c r="G188" s="141"/>
      <c r="H188" s="151">
        <f>Source!AC79</f>
        <v>8452.94</v>
      </c>
      <c r="I188" s="151">
        <f>T188</f>
        <v>16905.88</v>
      </c>
      <c r="J188" s="153">
        <v>12.5</v>
      </c>
      <c r="K188" s="152">
        <f>U188</f>
        <v>211323.5</v>
      </c>
      <c r="O188" s="26"/>
      <c r="P188" s="26"/>
      <c r="Q188" s="26"/>
      <c r="R188" s="26"/>
      <c r="S188" s="26"/>
      <c r="T188" s="26">
        <f>ROUND(Source!AC79*Source!AW79*Source!I79,2)</f>
        <v>16905.88</v>
      </c>
      <c r="U188" s="26">
        <f>Source!P79</f>
        <v>211323.5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>
        <f>T188</f>
        <v>16905.88</v>
      </c>
      <c r="GK188" s="26"/>
      <c r="GL188" s="26"/>
      <c r="GM188" s="26"/>
      <c r="GN188" s="26">
        <f>T188</f>
        <v>16905.88</v>
      </c>
      <c r="GO188" s="26"/>
      <c r="GP188" s="26">
        <f>T188</f>
        <v>16905.88</v>
      </c>
      <c r="GQ188" s="26">
        <f>T188</f>
        <v>16905.88</v>
      </c>
      <c r="GR188" s="26"/>
      <c r="GS188" s="26">
        <f>T188</f>
        <v>16905.88</v>
      </c>
      <c r="GT188" s="26"/>
      <c r="GU188" s="26"/>
      <c r="GV188" s="26"/>
      <c r="GW188" s="26">
        <f>ROUND(Source!AG79*Source!I79,2)</f>
        <v>0</v>
      </c>
      <c r="GX188" s="26">
        <f>ROUND(Source!AJ79*Source!I79,2)</f>
        <v>0</v>
      </c>
      <c r="GY188" s="26"/>
      <c r="GZ188" s="26"/>
      <c r="HA188" s="26"/>
      <c r="HB188" s="26">
        <f>T188</f>
        <v>16905.88</v>
      </c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</row>
    <row r="189" spans="1:255" ht="13.5" thickBot="1" x14ac:dyDescent="0.25">
      <c r="A189" s="155"/>
      <c r="B189" s="156" t="s">
        <v>445</v>
      </c>
      <c r="C189" s="156" t="s">
        <v>459</v>
      </c>
      <c r="D189" s="157"/>
      <c r="E189" s="157"/>
      <c r="F189" s="157"/>
      <c r="G189" s="157"/>
      <c r="H189" s="157"/>
      <c r="I189" s="157"/>
      <c r="J189" s="157"/>
      <c r="K189" s="158"/>
    </row>
    <row r="190" spans="1:255" x14ac:dyDescent="0.2">
      <c r="A190" s="123"/>
      <c r="B190" s="122"/>
      <c r="C190" s="122"/>
      <c r="D190" s="122"/>
      <c r="E190" s="122"/>
      <c r="F190" s="122"/>
      <c r="G190" s="122"/>
      <c r="H190" s="132">
        <f>R190</f>
        <v>16905.88</v>
      </c>
      <c r="I190" s="133"/>
      <c r="J190" s="132">
        <f>S190</f>
        <v>211323.5</v>
      </c>
      <c r="K190" s="134"/>
      <c r="O190" s="26"/>
      <c r="P190" s="26"/>
      <c r="Q190" s="26"/>
      <c r="R190" s="26">
        <f>SUM(T188:T189)</f>
        <v>16905.88</v>
      </c>
      <c r="S190" s="26">
        <f>SUM(U188:U189)</f>
        <v>211323.5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>
        <f>R190</f>
        <v>16905.88</v>
      </c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</row>
    <row r="191" spans="1:255" ht="24" x14ac:dyDescent="0.2">
      <c r="A191" s="147">
        <v>29</v>
      </c>
      <c r="B191" s="154" t="s">
        <v>89</v>
      </c>
      <c r="C191" s="148" t="s">
        <v>135</v>
      </c>
      <c r="D191" s="149" t="s">
        <v>24</v>
      </c>
      <c r="E191" s="150">
        <v>2</v>
      </c>
      <c r="F191" s="151">
        <v>1145.77</v>
      </c>
      <c r="G191" s="141"/>
      <c r="H191" s="151">
        <f>Source!AC81</f>
        <v>1145.77</v>
      </c>
      <c r="I191" s="151">
        <f>T191</f>
        <v>2291.54</v>
      </c>
      <c r="J191" s="153">
        <v>12.5</v>
      </c>
      <c r="K191" s="152">
        <f>U191</f>
        <v>28644.25</v>
      </c>
      <c r="O191" s="26"/>
      <c r="P191" s="26"/>
      <c r="Q191" s="26"/>
      <c r="R191" s="26"/>
      <c r="S191" s="26"/>
      <c r="T191" s="26">
        <f>ROUND(Source!AC81*Source!AW81*Source!I81,2)</f>
        <v>2291.54</v>
      </c>
      <c r="U191" s="26">
        <f>Source!P81</f>
        <v>28644.25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>
        <f>T191</f>
        <v>2291.54</v>
      </c>
      <c r="GK191" s="26"/>
      <c r="GL191" s="26"/>
      <c r="GM191" s="26"/>
      <c r="GN191" s="26">
        <f>T191</f>
        <v>2291.54</v>
      </c>
      <c r="GO191" s="26"/>
      <c r="GP191" s="26">
        <f>T191</f>
        <v>2291.54</v>
      </c>
      <c r="GQ191" s="26">
        <f>T191</f>
        <v>2291.54</v>
      </c>
      <c r="GR191" s="26"/>
      <c r="GS191" s="26">
        <f>T191</f>
        <v>2291.54</v>
      </c>
      <c r="GT191" s="26"/>
      <c r="GU191" s="26"/>
      <c r="GV191" s="26"/>
      <c r="GW191" s="26">
        <f>ROUND(Source!AG81*Source!I81,2)</f>
        <v>0</v>
      </c>
      <c r="GX191" s="26">
        <f>ROUND(Source!AJ81*Source!I81,2)</f>
        <v>0</v>
      </c>
      <c r="GY191" s="26"/>
      <c r="GZ191" s="26"/>
      <c r="HA191" s="26"/>
      <c r="HB191" s="26">
        <f>T191</f>
        <v>2291.54</v>
      </c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</row>
    <row r="192" spans="1:255" ht="13.5" thickBot="1" x14ac:dyDescent="0.25">
      <c r="A192" s="155"/>
      <c r="B192" s="156" t="s">
        <v>445</v>
      </c>
      <c r="C192" s="156" t="s">
        <v>460</v>
      </c>
      <c r="D192" s="157"/>
      <c r="E192" s="157"/>
      <c r="F192" s="157"/>
      <c r="G192" s="157"/>
      <c r="H192" s="157"/>
      <c r="I192" s="157"/>
      <c r="J192" s="157"/>
      <c r="K192" s="158"/>
    </row>
    <row r="193" spans="1:255" ht="13.5" thickBot="1" x14ac:dyDescent="0.25">
      <c r="A193" s="123"/>
      <c r="B193" s="122"/>
      <c r="C193" s="122"/>
      <c r="D193" s="122"/>
      <c r="E193" s="122"/>
      <c r="F193" s="122"/>
      <c r="G193" s="122"/>
      <c r="H193" s="132">
        <f>R193</f>
        <v>2291.54</v>
      </c>
      <c r="I193" s="133"/>
      <c r="J193" s="132">
        <f>S193</f>
        <v>28644.25</v>
      </c>
      <c r="K193" s="134"/>
      <c r="O193" s="26"/>
      <c r="P193" s="26"/>
      <c r="Q193" s="26"/>
      <c r="R193" s="26">
        <f>SUM(T191:T192)</f>
        <v>2291.54</v>
      </c>
      <c r="S193" s="26">
        <f>SUM(U191:U192)</f>
        <v>28644.25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>
        <f>R193</f>
        <v>2291.54</v>
      </c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</row>
    <row r="194" spans="1:255" x14ac:dyDescent="0.2">
      <c r="A194" s="159"/>
      <c r="B194" s="159"/>
      <c r="C194" s="160" t="s">
        <v>461</v>
      </c>
      <c r="D194" s="160"/>
      <c r="E194" s="160"/>
      <c r="F194" s="160"/>
      <c r="G194" s="160"/>
      <c r="H194" s="161">
        <f>FM194</f>
        <v>47604.13</v>
      </c>
      <c r="I194" s="161"/>
      <c r="J194" s="161">
        <f>DP194</f>
        <v>639682.97</v>
      </c>
      <c r="K194" s="161"/>
      <c r="P194" s="26">
        <f>SUM(R47:R193)</f>
        <v>47604.13</v>
      </c>
      <c r="Q194" s="26">
        <f>SUM(S47:S193)</f>
        <v>639682.97</v>
      </c>
      <c r="R194" s="26"/>
      <c r="S194" s="26"/>
      <c r="T194" s="26"/>
      <c r="U194" s="26"/>
      <c r="V194" s="26"/>
      <c r="W194" s="26"/>
      <c r="CW194">
        <f>Source!DM83</f>
        <v>356.06594749999999</v>
      </c>
      <c r="CX194">
        <f>Source!DN83</f>
        <v>7.7554389799999992</v>
      </c>
      <c r="CY194">
        <f>Source!DG83</f>
        <v>549829.06000000006</v>
      </c>
      <c r="CZ194">
        <f>Source!DK83</f>
        <v>78707.19</v>
      </c>
      <c r="DA194">
        <f>Source!DI83</f>
        <v>10660.09</v>
      </c>
      <c r="DB194">
        <f>Source!DJ83</f>
        <v>1279.56</v>
      </c>
      <c r="DC194">
        <f>Source!DH83</f>
        <v>460461.78</v>
      </c>
      <c r="DD194">
        <f>Source!EG83</f>
        <v>0</v>
      </c>
      <c r="DE194">
        <f>Source!EN83</f>
        <v>460461.78</v>
      </c>
      <c r="DF194">
        <f>Source!EO83</f>
        <v>460461.78</v>
      </c>
      <c r="DG194">
        <f>Source!EP83</f>
        <v>0</v>
      </c>
      <c r="DH194">
        <f>Source!EQ83</f>
        <v>460461.78</v>
      </c>
      <c r="DI194">
        <f>Source!EH83</f>
        <v>0</v>
      </c>
      <c r="DJ194">
        <f>Source!EI83</f>
        <v>0</v>
      </c>
      <c r="DK194">
        <f>Source!ER83</f>
        <v>0</v>
      </c>
      <c r="DL194">
        <f>Source!DL83</f>
        <v>0</v>
      </c>
      <c r="DM194">
        <f>Source!DO83</f>
        <v>0</v>
      </c>
      <c r="DN194">
        <f>Source!DP83</f>
        <v>55125.02</v>
      </c>
      <c r="DO194">
        <f>Source!DQ83</f>
        <v>34728.89</v>
      </c>
      <c r="DP194">
        <f>Source!EJ83</f>
        <v>639682.97</v>
      </c>
      <c r="DQ194">
        <f>Source!EK83</f>
        <v>449458.53</v>
      </c>
      <c r="DR194">
        <f>Source!EL83</f>
        <v>49402.85</v>
      </c>
      <c r="DS194">
        <f>Source!EH83</f>
        <v>0</v>
      </c>
      <c r="DT194">
        <f>Source!EM83</f>
        <v>140821.59</v>
      </c>
      <c r="DU194">
        <f>Source!EK83+Source!EL83</f>
        <v>498861.38</v>
      </c>
      <c r="DW194">
        <f>Source!ES83</f>
        <v>0</v>
      </c>
      <c r="DX194">
        <f>Source!ET83</f>
        <v>0</v>
      </c>
      <c r="DY194">
        <f>Source!EU83</f>
        <v>0</v>
      </c>
      <c r="ET194">
        <f>Source!DM83</f>
        <v>356.06594749999999</v>
      </c>
      <c r="EU194">
        <f>Source!DN83</f>
        <v>7.7554389799999992</v>
      </c>
      <c r="EV194">
        <f>SUM(GJ47:GJ193)</f>
        <v>42244.6</v>
      </c>
      <c r="EW194">
        <f>SUM(GK47:GK193)</f>
        <v>4554.84</v>
      </c>
      <c r="EX194">
        <f>SUM(GL47:GL193)</f>
        <v>852.80999999999983</v>
      </c>
      <c r="EY194">
        <f>SUM(GM47:GM193)</f>
        <v>102.36</v>
      </c>
      <c r="EZ194">
        <f>SUM(GN47:GN193)</f>
        <v>36836.950000000004</v>
      </c>
      <c r="FA194">
        <f>SUM(GO47:GO193)</f>
        <v>0</v>
      </c>
      <c r="FB194">
        <f>SUM(GP47:GP193)</f>
        <v>36836.950000000004</v>
      </c>
      <c r="FC194">
        <f>SUM(GQ47:GQ193)</f>
        <v>36836.950000000004</v>
      </c>
      <c r="FD194">
        <f>SUM(GR47:GR193)</f>
        <v>0</v>
      </c>
      <c r="FE194">
        <f>SUM(GS47:GS193)</f>
        <v>36836.950000000004</v>
      </c>
      <c r="FF194">
        <f>SUM(GT47:GT193)</f>
        <v>0</v>
      </c>
      <c r="FG194">
        <f>SUM(GU47:GU193)</f>
        <v>0</v>
      </c>
      <c r="FH194">
        <f>SUM(GV47:GV193)</f>
        <v>0</v>
      </c>
      <c r="FI194">
        <f>SUM(GW47:GW193)</f>
        <v>0</v>
      </c>
      <c r="FJ194">
        <f>SUM(GX47:GX193)</f>
        <v>0</v>
      </c>
      <c r="FK194">
        <f>SUM(GY47:GY193)</f>
        <v>3277.9</v>
      </c>
      <c r="FL194">
        <f>SUM(GZ47:GZ193)</f>
        <v>2081.63</v>
      </c>
      <c r="FM194">
        <f>SUM(HA47:HA193)</f>
        <v>47604.13</v>
      </c>
      <c r="FN194">
        <f>SUM(HB47:HB193)</f>
        <v>35956.700000000004</v>
      </c>
      <c r="FO194">
        <f>SUM(HC47:HC193)</f>
        <v>3952.25</v>
      </c>
      <c r="FP194">
        <f>SUM(HD47:HD193)</f>
        <v>0</v>
      </c>
      <c r="FQ194">
        <f>SUM(HE47:HE193)</f>
        <v>7695.18</v>
      </c>
      <c r="FR194">
        <f>FN194+FO194</f>
        <v>39908.950000000004</v>
      </c>
      <c r="FS194">
        <f>SUM(HG47:HG193)</f>
        <v>0</v>
      </c>
      <c r="FT194">
        <f>SUM(HH47:HH193)</f>
        <v>0</v>
      </c>
      <c r="FU194">
        <f>SUM(HI47:HI193)</f>
        <v>0</v>
      </c>
      <c r="FV194">
        <f>SUM(HJ47:HJ193)</f>
        <v>0</v>
      </c>
    </row>
    <row r="195" spans="1:255" x14ac:dyDescent="0.2">
      <c r="H195" s="53"/>
      <c r="I195" s="53"/>
      <c r="J195" s="53"/>
      <c r="K195" s="53"/>
    </row>
    <row r="196" spans="1:255" x14ac:dyDescent="0.2">
      <c r="C196" s="40"/>
      <c r="D196" s="40"/>
      <c r="E196" s="40"/>
      <c r="F196" s="40"/>
      <c r="G196" s="40"/>
      <c r="H196" s="166"/>
      <c r="I196" s="166"/>
      <c r="J196" s="166"/>
      <c r="K196" s="53"/>
    </row>
    <row r="197" spans="1:255" x14ac:dyDescent="0.2">
      <c r="A197" s="163"/>
      <c r="B197" s="163"/>
      <c r="C197" s="165" t="s">
        <v>465</v>
      </c>
      <c r="D197" s="165"/>
      <c r="E197" s="165"/>
      <c r="F197" s="165"/>
      <c r="G197" s="165"/>
      <c r="H197" s="167">
        <f>FK194</f>
        <v>3277.9</v>
      </c>
      <c r="I197" s="167"/>
      <c r="J197" s="167">
        <f>DN194</f>
        <v>55125.02</v>
      </c>
      <c r="K197" s="162"/>
    </row>
    <row r="198" spans="1:255" x14ac:dyDescent="0.2">
      <c r="A198" s="163"/>
      <c r="B198" s="163"/>
      <c r="C198" s="165" t="s">
        <v>466</v>
      </c>
      <c r="D198" s="165"/>
      <c r="E198" s="165"/>
      <c r="F198" s="165"/>
      <c r="G198" s="165"/>
      <c r="H198" s="167">
        <f>FL194</f>
        <v>2081.63</v>
      </c>
      <c r="I198" s="167"/>
      <c r="J198" s="167">
        <f>DO194</f>
        <v>34728.89</v>
      </c>
      <c r="K198" s="162"/>
    </row>
    <row r="199" spans="1:255" x14ac:dyDescent="0.2">
      <c r="A199" s="163"/>
      <c r="B199" s="163"/>
      <c r="C199" s="165" t="s">
        <v>467</v>
      </c>
      <c r="D199" s="165"/>
      <c r="E199" s="165"/>
      <c r="F199" s="165"/>
      <c r="G199" s="165"/>
      <c r="H199" s="167">
        <f>FM194</f>
        <v>47604.13</v>
      </c>
      <c r="I199" s="167"/>
      <c r="J199" s="167">
        <f>DP194</f>
        <v>639682.97</v>
      </c>
      <c r="K199" s="162"/>
    </row>
    <row r="200" spans="1:255" x14ac:dyDescent="0.2">
      <c r="C200" s="40" t="s">
        <v>468</v>
      </c>
      <c r="D200" s="40"/>
      <c r="E200" s="40"/>
      <c r="F200" s="40"/>
      <c r="G200" s="40"/>
      <c r="H200" s="166"/>
      <c r="I200" s="166"/>
      <c r="J200" s="166"/>
      <c r="K200" s="53"/>
    </row>
    <row r="201" spans="1:255" x14ac:dyDescent="0.2">
      <c r="C201" s="40" t="s">
        <v>469</v>
      </c>
      <c r="D201" s="40"/>
      <c r="E201" s="40"/>
      <c r="F201" s="40"/>
      <c r="G201" s="40"/>
      <c r="H201" s="168">
        <f>FN194</f>
        <v>35956.700000000004</v>
      </c>
      <c r="I201" s="168"/>
      <c r="J201" s="168">
        <f>DQ194</f>
        <v>449458.53</v>
      </c>
      <c r="K201" s="162"/>
    </row>
    <row r="202" spans="1:255" x14ac:dyDescent="0.2">
      <c r="C202" s="40" t="s">
        <v>470</v>
      </c>
      <c r="D202" s="40"/>
      <c r="E202" s="40"/>
      <c r="F202" s="40"/>
      <c r="G202" s="40"/>
      <c r="H202" s="168">
        <f>FO194</f>
        <v>3952.25</v>
      </c>
      <c r="I202" s="168"/>
      <c r="J202" s="168">
        <f>DR194</f>
        <v>49402.85</v>
      </c>
      <c r="K202" s="162"/>
    </row>
    <row r="203" spans="1:255" hidden="1" x14ac:dyDescent="0.2">
      <c r="C203" s="40" t="s">
        <v>471</v>
      </c>
      <c r="D203" s="40"/>
      <c r="E203" s="40"/>
      <c r="F203" s="40"/>
      <c r="G203" s="40"/>
      <c r="H203" s="168">
        <f>FP194</f>
        <v>0</v>
      </c>
      <c r="I203" s="168"/>
      <c r="J203" s="168">
        <f>DS194</f>
        <v>0</v>
      </c>
      <c r="K203" s="162"/>
    </row>
    <row r="204" spans="1:255" x14ac:dyDescent="0.2">
      <c r="C204" s="40" t="s">
        <v>472</v>
      </c>
      <c r="D204" s="40"/>
      <c r="E204" s="40"/>
      <c r="F204" s="40"/>
      <c r="G204" s="40"/>
      <c r="H204" s="168">
        <f>FQ194</f>
        <v>7695.18</v>
      </c>
      <c r="I204" s="168"/>
      <c r="J204" s="168">
        <f>DT194</f>
        <v>140821.59</v>
      </c>
      <c r="K204" s="162"/>
    </row>
    <row r="205" spans="1:255" x14ac:dyDescent="0.2">
      <c r="C205" s="40"/>
      <c r="D205" s="40"/>
      <c r="E205" s="40"/>
      <c r="F205" s="40"/>
      <c r="G205" s="40"/>
      <c r="H205" s="166"/>
      <c r="I205" s="166"/>
      <c r="J205" s="166"/>
      <c r="K205" s="53"/>
    </row>
    <row r="206" spans="1:255" x14ac:dyDescent="0.2">
      <c r="C206" s="40" t="s">
        <v>473</v>
      </c>
      <c r="D206" s="40"/>
      <c r="E206" s="40"/>
      <c r="F206" s="40"/>
      <c r="G206" s="40"/>
      <c r="H206" s="168">
        <f>H199</f>
        <v>47604.13</v>
      </c>
      <c r="I206" s="168"/>
      <c r="J206" s="168">
        <f>J199</f>
        <v>639682.97</v>
      </c>
      <c r="K206" s="162"/>
    </row>
    <row r="207" spans="1:255" x14ac:dyDescent="0.2">
      <c r="C207" s="40" t="s">
        <v>474</v>
      </c>
      <c r="D207" s="40"/>
      <c r="E207" s="169">
        <v>20</v>
      </c>
      <c r="F207" s="170" t="s">
        <v>438</v>
      </c>
      <c r="G207" s="40"/>
      <c r="H207" s="40"/>
      <c r="I207" s="40"/>
      <c r="J207" s="168">
        <f>ROUND(J206*E207/100,2)</f>
        <v>127936.59</v>
      </c>
      <c r="K207" s="164"/>
    </row>
    <row r="208" spans="1:255" x14ac:dyDescent="0.2">
      <c r="C208" s="40" t="s">
        <v>475</v>
      </c>
      <c r="D208" s="40"/>
      <c r="E208" s="40"/>
      <c r="F208" s="40"/>
      <c r="G208" s="40"/>
      <c r="H208" s="40"/>
      <c r="I208" s="40"/>
      <c r="J208" s="168">
        <f>J207+J206</f>
        <v>767619.55999999994</v>
      </c>
      <c r="K208" s="162"/>
    </row>
    <row r="209" spans="1:255" x14ac:dyDescent="0.2">
      <c r="C209" s="40"/>
      <c r="D209" s="40"/>
      <c r="E209" s="40"/>
      <c r="F209" s="40"/>
      <c r="G209" s="40"/>
      <c r="H209" s="40"/>
      <c r="I209" s="40"/>
      <c r="J209" s="166"/>
      <c r="K209" s="53"/>
    </row>
    <row r="210" spans="1:255" hidden="1" outlineLevel="1" x14ac:dyDescent="0.2">
      <c r="C210" s="40"/>
      <c r="D210" s="40"/>
      <c r="E210" s="40"/>
      <c r="F210" s="40"/>
      <c r="G210" s="40"/>
      <c r="H210" s="40"/>
      <c r="I210" s="40"/>
      <c r="J210" s="40"/>
    </row>
    <row r="211" spans="1:255" hidden="1" outlineLevel="1" x14ac:dyDescent="0.2"/>
    <row r="212" spans="1:255" hidden="1" outlineLevel="1" x14ac:dyDescent="0.2">
      <c r="A212" s="171" t="s">
        <v>476</v>
      </c>
      <c r="B212" s="171"/>
      <c r="C212" s="173"/>
      <c r="D212" s="173"/>
      <c r="E212" s="173"/>
      <c r="F212" s="173"/>
      <c r="G212" s="172"/>
      <c r="H212" s="172"/>
      <c r="I212" s="173"/>
      <c r="J212" s="173"/>
      <c r="BY212" s="174">
        <f>C212</f>
        <v>0</v>
      </c>
      <c r="BZ212" s="174">
        <f>I212</f>
        <v>0</v>
      </c>
      <c r="IU212" s="26"/>
    </row>
    <row r="213" spans="1:255" s="176" customFormat="1" ht="11.25" hidden="1" outlineLevel="1" x14ac:dyDescent="0.2">
      <c r="A213" s="175"/>
      <c r="B213" s="175"/>
      <c r="C213" s="177" t="s">
        <v>477</v>
      </c>
      <c r="D213" s="177"/>
      <c r="E213" s="177"/>
      <c r="F213" s="177"/>
      <c r="G213" s="177"/>
      <c r="H213" s="177"/>
      <c r="I213" s="177" t="s">
        <v>478</v>
      </c>
      <c r="J213" s="177"/>
    </row>
    <row r="214" spans="1:255" hidden="1" outlineLevel="1" x14ac:dyDescent="0.2">
      <c r="A214" s="21"/>
      <c r="B214" s="21"/>
      <c r="C214" s="21"/>
      <c r="D214" s="21"/>
      <c r="E214" s="21"/>
      <c r="F214" s="21"/>
      <c r="G214" s="11" t="s">
        <v>479</v>
      </c>
      <c r="H214" s="21"/>
      <c r="I214" s="21"/>
      <c r="J214" s="21"/>
    </row>
    <row r="215" spans="1:255" hidden="1" outlineLevel="1" x14ac:dyDescent="0.2">
      <c r="A215" s="171" t="s">
        <v>480</v>
      </c>
      <c r="B215" s="171"/>
      <c r="C215" s="173"/>
      <c r="D215" s="173"/>
      <c r="E215" s="173"/>
      <c r="F215" s="173"/>
      <c r="G215" s="172"/>
      <c r="H215" s="172"/>
      <c r="I215" s="173"/>
      <c r="J215" s="173"/>
      <c r="BY215" s="174">
        <f>C215</f>
        <v>0</v>
      </c>
      <c r="BZ215" s="174">
        <f>I215</f>
        <v>0</v>
      </c>
      <c r="IU215" s="26"/>
    </row>
    <row r="216" spans="1:255" s="176" customFormat="1" ht="11.25" hidden="1" outlineLevel="1" x14ac:dyDescent="0.2">
      <c r="A216" s="175"/>
      <c r="B216" s="175"/>
      <c r="C216" s="177" t="s">
        <v>477</v>
      </c>
      <c r="D216" s="177"/>
      <c r="E216" s="177"/>
      <c r="F216" s="177"/>
      <c r="G216" s="177"/>
      <c r="H216" s="177"/>
      <c r="I216" s="177" t="s">
        <v>478</v>
      </c>
      <c r="J216" s="177"/>
    </row>
    <row r="217" spans="1:255" hidden="1" outlineLevel="1" x14ac:dyDescent="0.2">
      <c r="A217" s="21"/>
      <c r="B217" s="21"/>
      <c r="C217" s="21"/>
      <c r="D217" s="21"/>
      <c r="E217" s="21"/>
      <c r="F217" s="21"/>
      <c r="G217" s="11" t="s">
        <v>479</v>
      </c>
      <c r="H217" s="21"/>
      <c r="I217" s="21"/>
      <c r="J217" s="21"/>
    </row>
    <row r="219" spans="1:255" outlineLevel="1" x14ac:dyDescent="0.2"/>
    <row r="220" spans="1:255" outlineLevel="1" x14ac:dyDescent="0.2"/>
    <row r="221" spans="1:255" outlineLevel="1" x14ac:dyDescent="0.2">
      <c r="A221" s="171" t="s">
        <v>481</v>
      </c>
      <c r="B221" s="171"/>
      <c r="C221" s="173"/>
      <c r="D221" s="173"/>
      <c r="E221" s="173"/>
      <c r="F221" s="173"/>
      <c r="G221" s="172"/>
      <c r="H221" s="172"/>
      <c r="I221" s="173"/>
      <c r="J221" s="173"/>
      <c r="BY221" s="174">
        <f>C221</f>
        <v>0</v>
      </c>
      <c r="BZ221" s="174">
        <f>I221</f>
        <v>0</v>
      </c>
      <c r="IU221" s="26"/>
    </row>
    <row r="222" spans="1:255" s="176" customFormat="1" ht="11.25" outlineLevel="1" x14ac:dyDescent="0.2">
      <c r="A222" s="175"/>
      <c r="B222" s="175"/>
      <c r="C222" s="177" t="s">
        <v>477</v>
      </c>
      <c r="D222" s="177"/>
      <c r="E222" s="177"/>
      <c r="F222" s="177"/>
      <c r="G222" s="177"/>
      <c r="H222" s="177"/>
      <c r="I222" s="177" t="s">
        <v>478</v>
      </c>
      <c r="J222" s="177"/>
    </row>
    <row r="223" spans="1:255" outlineLevel="1" x14ac:dyDescent="0.2">
      <c r="A223" s="21"/>
      <c r="B223" s="21"/>
      <c r="C223" s="21"/>
      <c r="D223" s="21"/>
      <c r="E223" s="21"/>
      <c r="F223" s="21"/>
      <c r="G223" s="11" t="s">
        <v>479</v>
      </c>
      <c r="H223" s="21"/>
      <c r="I223" s="21"/>
      <c r="J223" s="21"/>
    </row>
    <row r="224" spans="1:255" outlineLevel="1" x14ac:dyDescent="0.2">
      <c r="A224" s="171" t="s">
        <v>482</v>
      </c>
      <c r="B224" s="171"/>
      <c r="C224" s="173"/>
      <c r="D224" s="173"/>
      <c r="E224" s="173"/>
      <c r="F224" s="173"/>
      <c r="G224" s="172"/>
      <c r="H224" s="172"/>
      <c r="I224" s="173"/>
      <c r="J224" s="173"/>
      <c r="BY224" s="174">
        <f>C224</f>
        <v>0</v>
      </c>
      <c r="BZ224" s="174">
        <f>I224</f>
        <v>0</v>
      </c>
      <c r="IU224" s="26"/>
    </row>
    <row r="225" spans="1:10" s="176" customFormat="1" ht="11.25" outlineLevel="1" x14ac:dyDescent="0.2">
      <c r="A225" s="175"/>
      <c r="B225" s="175"/>
      <c r="C225" s="177" t="s">
        <v>477</v>
      </c>
      <c r="D225" s="177"/>
      <c r="E225" s="177"/>
      <c r="F225" s="177"/>
      <c r="G225" s="177"/>
      <c r="H225" s="177"/>
      <c r="I225" s="177" t="s">
        <v>478</v>
      </c>
      <c r="J225" s="177"/>
    </row>
    <row r="226" spans="1:10" outlineLevel="1" x14ac:dyDescent="0.2">
      <c r="A226" s="21"/>
      <c r="B226" s="21"/>
      <c r="C226" s="21"/>
      <c r="D226" s="21"/>
      <c r="E226" s="21"/>
      <c r="F226" s="21"/>
      <c r="G226" s="11" t="s">
        <v>479</v>
      </c>
      <c r="H226" s="21"/>
      <c r="I226" s="21"/>
      <c r="J226" s="21"/>
    </row>
  </sheetData>
  <mergeCells count="151">
    <mergeCell ref="C222:H222"/>
    <mergeCell ref="I222:J222"/>
    <mergeCell ref="C224:F224"/>
    <mergeCell ref="I224:J224"/>
    <mergeCell ref="C225:H225"/>
    <mergeCell ref="I225:J225"/>
    <mergeCell ref="C215:F215"/>
    <mergeCell ref="I215:J215"/>
    <mergeCell ref="C216:H216"/>
    <mergeCell ref="I216:J216"/>
    <mergeCell ref="C221:F221"/>
    <mergeCell ref="I221:J221"/>
    <mergeCell ref="J207:K207"/>
    <mergeCell ref="J208:K208"/>
    <mergeCell ref="J209:K209"/>
    <mergeCell ref="C212:F212"/>
    <mergeCell ref="I212:J212"/>
    <mergeCell ref="C213:H213"/>
    <mergeCell ref="I213:J213"/>
    <mergeCell ref="H204:I204"/>
    <mergeCell ref="J204:K204"/>
    <mergeCell ref="H205:I205"/>
    <mergeCell ref="J205:K205"/>
    <mergeCell ref="H206:I206"/>
    <mergeCell ref="J206:K206"/>
    <mergeCell ref="H201:I201"/>
    <mergeCell ref="J201:K201"/>
    <mergeCell ref="H202:I202"/>
    <mergeCell ref="J202:K202"/>
    <mergeCell ref="H203:I203"/>
    <mergeCell ref="J203:K203"/>
    <mergeCell ref="H198:I198"/>
    <mergeCell ref="J198:K198"/>
    <mergeCell ref="H199:I199"/>
    <mergeCell ref="J199:K199"/>
    <mergeCell ref="H200:I200"/>
    <mergeCell ref="J200:K200"/>
    <mergeCell ref="H195:I195"/>
    <mergeCell ref="J195:K195"/>
    <mergeCell ref="H196:I196"/>
    <mergeCell ref="J196:K196"/>
    <mergeCell ref="H197:I197"/>
    <mergeCell ref="J197:K197"/>
    <mergeCell ref="H190:I190"/>
    <mergeCell ref="J190:K190"/>
    <mergeCell ref="H193:I193"/>
    <mergeCell ref="J193:K193"/>
    <mergeCell ref="H194:I194"/>
    <mergeCell ref="J194:K194"/>
    <mergeCell ref="H181:I181"/>
    <mergeCell ref="J181:K181"/>
    <mergeCell ref="H184:I184"/>
    <mergeCell ref="J184:K184"/>
    <mergeCell ref="H187:I187"/>
    <mergeCell ref="J187:K187"/>
    <mergeCell ref="H172:I172"/>
    <mergeCell ref="J172:K172"/>
    <mergeCell ref="H175:I175"/>
    <mergeCell ref="J175:K175"/>
    <mergeCell ref="H178:I178"/>
    <mergeCell ref="J178:K178"/>
    <mergeCell ref="H163:I163"/>
    <mergeCell ref="J163:K163"/>
    <mergeCell ref="H166:I166"/>
    <mergeCell ref="J166:K166"/>
    <mergeCell ref="H169:I169"/>
    <mergeCell ref="J169:K169"/>
    <mergeCell ref="H154:I154"/>
    <mergeCell ref="J154:K154"/>
    <mergeCell ref="H157:I157"/>
    <mergeCell ref="J157:K157"/>
    <mergeCell ref="H160:I160"/>
    <mergeCell ref="J160:K160"/>
    <mergeCell ref="H142:I142"/>
    <mergeCell ref="J142:K142"/>
    <mergeCell ref="H148:I148"/>
    <mergeCell ref="J148:K148"/>
    <mergeCell ref="H151:I151"/>
    <mergeCell ref="J151:K151"/>
    <mergeCell ref="H120:I120"/>
    <mergeCell ref="J120:K120"/>
    <mergeCell ref="H129:I129"/>
    <mergeCell ref="J129:K129"/>
    <mergeCell ref="H136:I136"/>
    <mergeCell ref="J136:K136"/>
    <mergeCell ref="H98:I98"/>
    <mergeCell ref="J98:K98"/>
    <mergeCell ref="H105:I105"/>
    <mergeCell ref="J105:K105"/>
    <mergeCell ref="H114:I114"/>
    <mergeCell ref="J114:K114"/>
    <mergeCell ref="H76:I76"/>
    <mergeCell ref="J76:K76"/>
    <mergeCell ref="H82:I82"/>
    <mergeCell ref="J82:K82"/>
    <mergeCell ref="H91:I91"/>
    <mergeCell ref="J91:K91"/>
    <mergeCell ref="H52:I52"/>
    <mergeCell ref="J52:K52"/>
    <mergeCell ref="H61:I61"/>
    <mergeCell ref="J61:K61"/>
    <mergeCell ref="H67:I67"/>
    <mergeCell ref="J67:K67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372</v>
      </c>
    </row>
    <row r="3" spans="1:178" x14ac:dyDescent="0.2">
      <c r="A3">
        <v>3</v>
      </c>
      <c r="B3" t="s">
        <v>373</v>
      </c>
    </row>
    <row r="4" spans="1:178" x14ac:dyDescent="0.2">
      <c r="A4">
        <v>2</v>
      </c>
      <c r="B4" t="s">
        <v>374</v>
      </c>
    </row>
    <row r="5" spans="1:178" x14ac:dyDescent="0.2">
      <c r="A5">
        <v>0</v>
      </c>
      <c r="B5" t="s">
        <v>375</v>
      </c>
    </row>
    <row r="6" spans="1:178" x14ac:dyDescent="0.2">
      <c r="A6">
        <v>2</v>
      </c>
      <c r="B6" t="s">
        <v>376</v>
      </c>
    </row>
    <row r="7" spans="1:178" x14ac:dyDescent="0.2">
      <c r="A7">
        <v>0</v>
      </c>
      <c r="B7" t="s">
        <v>377</v>
      </c>
    </row>
    <row r="8" spans="1:178" x14ac:dyDescent="0.2">
      <c r="A8">
        <v>2</v>
      </c>
      <c r="B8" t="s">
        <v>378</v>
      </c>
    </row>
    <row r="9" spans="1:178" x14ac:dyDescent="0.2">
      <c r="A9">
        <v>0</v>
      </c>
      <c r="B9" t="s">
        <v>379</v>
      </c>
    </row>
    <row r="13" spans="1:178" x14ac:dyDescent="0.2">
      <c r="A13">
        <v>3</v>
      </c>
      <c r="B13" t="s">
        <v>434</v>
      </c>
      <c r="D13" t="s">
        <v>435</v>
      </c>
      <c r="F13" t="s">
        <v>414</v>
      </c>
    </row>
    <row r="14" spans="1:178" x14ac:dyDescent="0.2">
      <c r="A14">
        <v>513</v>
      </c>
      <c r="B14" t="s">
        <v>462</v>
      </c>
      <c r="D14" t="s">
        <v>435</v>
      </c>
      <c r="F14" t="s">
        <v>414</v>
      </c>
      <c r="CW14">
        <f>Source!DM83</f>
        <v>356.06594749999999</v>
      </c>
      <c r="CX14">
        <f>Source!DN83</f>
        <v>7.7554389799999992</v>
      </c>
      <c r="CY14">
        <f>Source!DG83</f>
        <v>549829.06000000006</v>
      </c>
      <c r="CZ14">
        <f>Source!DK83</f>
        <v>78707.19</v>
      </c>
      <c r="DA14">
        <f>Source!DI83</f>
        <v>10660.09</v>
      </c>
      <c r="DB14">
        <f>Source!DJ83</f>
        <v>1279.56</v>
      </c>
      <c r="DC14">
        <f>Source!DH83</f>
        <v>460461.78</v>
      </c>
      <c r="DD14">
        <f>Source!EG83</f>
        <v>0</v>
      </c>
      <c r="DE14">
        <f>Source!EN83</f>
        <v>460461.78</v>
      </c>
      <c r="DF14">
        <f>Source!EO83</f>
        <v>460461.78</v>
      </c>
      <c r="DG14">
        <f>Source!EP83</f>
        <v>0</v>
      </c>
      <c r="DH14">
        <f>Source!EQ83</f>
        <v>460461.78</v>
      </c>
      <c r="DI14">
        <f>Source!EH83</f>
        <v>0</v>
      </c>
      <c r="DJ14">
        <f>Source!EI83</f>
        <v>0</v>
      </c>
      <c r="DK14">
        <f>Source!ER83</f>
        <v>0</v>
      </c>
      <c r="DL14">
        <f>Source!DL83</f>
        <v>0</v>
      </c>
      <c r="DM14">
        <f>Source!DO83</f>
        <v>0</v>
      </c>
      <c r="DN14">
        <f>Source!DP83</f>
        <v>55125.02</v>
      </c>
      <c r="DO14">
        <f>Source!DQ83</f>
        <v>34728.89</v>
      </c>
      <c r="DP14">
        <f>Source!EJ83</f>
        <v>639682.97</v>
      </c>
      <c r="DQ14">
        <f>Source!EK83</f>
        <v>449458.53</v>
      </c>
      <c r="DR14">
        <f>Source!EL83</f>
        <v>49402.85</v>
      </c>
      <c r="DS14">
        <f>Source!EH83</f>
        <v>0</v>
      </c>
      <c r="DT14">
        <f>Source!EM83</f>
        <v>140821.59</v>
      </c>
      <c r="DU14">
        <f>Source!EK83+Source!EL83</f>
        <v>498861.38</v>
      </c>
      <c r="DW14">
        <f>Source!ES83</f>
        <v>0</v>
      </c>
      <c r="DX14">
        <f>Source!ET83</f>
        <v>0</v>
      </c>
      <c r="DY14">
        <f>Source!EU83</f>
        <v>0</v>
      </c>
      <c r="ET14">
        <f>Source!DM83</f>
        <v>356.06594749999999</v>
      </c>
      <c r="EU14">
        <f>Source!DN83</f>
        <v>7.7554389799999992</v>
      </c>
      <c r="EV14">
        <f>SUM('1.Лок.смета.и.Акт'!GJ47:'1.Лок.смета.и.Акт'!GJ193)</f>
        <v>42244.6</v>
      </c>
      <c r="EW14">
        <f>SUM('1.Лок.смета.и.Акт'!GK47:'1.Лок.смета.и.Акт'!GK193)</f>
        <v>4554.84</v>
      </c>
      <c r="EX14">
        <f>SUM('1.Лок.смета.и.Акт'!GL47:'1.Лок.смета.и.Акт'!GL193)</f>
        <v>852.80999999999983</v>
      </c>
      <c r="EY14">
        <f>SUM('1.Лок.смета.и.Акт'!GM47:'1.Лок.смета.и.Акт'!GM193)</f>
        <v>102.36</v>
      </c>
      <c r="EZ14">
        <f>SUM('1.Лок.смета.и.Акт'!GN47:'1.Лок.смета.и.Акт'!GN193)</f>
        <v>36836.950000000004</v>
      </c>
      <c r="FA14">
        <f>SUM('1.Лок.смета.и.Акт'!GO47:'1.Лок.смета.и.Акт'!GO193)</f>
        <v>0</v>
      </c>
      <c r="FB14">
        <f>SUM('1.Лок.смета.и.Акт'!GP47:'1.Лок.смета.и.Акт'!GP193)</f>
        <v>36836.950000000004</v>
      </c>
      <c r="FC14">
        <f>SUM('1.Лок.смета.и.Акт'!GQ47:'1.Лок.смета.и.Акт'!GQ193)</f>
        <v>36836.950000000004</v>
      </c>
      <c r="FD14">
        <f>SUM('1.Лок.смета.и.Акт'!GR47:'1.Лок.смета.и.Акт'!GR193)</f>
        <v>0</v>
      </c>
      <c r="FE14">
        <f>SUM('1.Лок.смета.и.Акт'!GS47:'1.Лок.смета.и.Акт'!GS193)</f>
        <v>36836.950000000004</v>
      </c>
      <c r="FF14">
        <f>SUM('1.Лок.смета.и.Акт'!GT47:'1.Лок.смета.и.Акт'!GT193)</f>
        <v>0</v>
      </c>
      <c r="FG14">
        <f>SUM('1.Лок.смета.и.Акт'!GU47:'1.Лок.смета.и.Акт'!GU193)</f>
        <v>0</v>
      </c>
      <c r="FH14">
        <f>SUM('1.Лок.смета.и.Акт'!GV47:'1.Лок.смета.и.Акт'!GV193)</f>
        <v>0</v>
      </c>
      <c r="FI14">
        <f>SUM('1.Лок.смета.и.Акт'!GW47:'1.Лок.смета.и.Акт'!GW193)</f>
        <v>0</v>
      </c>
      <c r="FJ14">
        <f>SUM('1.Лок.смета.и.Акт'!GX47:'1.Лок.смета.и.Акт'!GX193)</f>
        <v>0</v>
      </c>
      <c r="FK14">
        <f>SUM('1.Лок.смета.и.Акт'!GY47:'1.Лок.смета.и.Акт'!GY193)</f>
        <v>3277.9</v>
      </c>
      <c r="FL14">
        <f>SUM('1.Лок.смета.и.Акт'!GZ47:'1.Лок.смета.и.Акт'!GZ193)</f>
        <v>2081.63</v>
      </c>
      <c r="FM14">
        <f>SUM('1.Лок.смета.и.Акт'!HA47:'1.Лок.смета.и.Акт'!HA193)</f>
        <v>47604.13</v>
      </c>
      <c r="FN14">
        <f>SUM('1.Лок.смета.и.Акт'!HB47:'1.Лок.смета.и.Акт'!HB193)</f>
        <v>35956.700000000004</v>
      </c>
      <c r="FO14">
        <f>SUM('1.Лок.смета.и.Акт'!HC47:'1.Лок.смета.и.Акт'!HC193)</f>
        <v>3952.25</v>
      </c>
      <c r="FP14">
        <f>SUM('1.Лок.смета.и.Акт'!HD47:'1.Лок.смета.и.Акт'!HD193)</f>
        <v>0</v>
      </c>
      <c r="FQ14">
        <f>SUM('1.Лок.смета.и.Акт'!HE47:'1.Лок.смета.и.Акт'!HE193)</f>
        <v>7695.18</v>
      </c>
      <c r="FR14">
        <f>'1.Лок.смета.и.Акт'!FN194+'1.Лок.смета.и.Акт'!FO194</f>
        <v>39908.950000000004</v>
      </c>
      <c r="FS14">
        <f>SUM('1.Лок.смета.и.Акт'!HG47:'1.Лок.смета.и.Акт'!HG193)</f>
        <v>0</v>
      </c>
      <c r="FT14">
        <f>SUM('1.Лок.смета.и.Акт'!HH47:'1.Лок.смета.и.Акт'!HH193)</f>
        <v>0</v>
      </c>
      <c r="FU14">
        <f>SUM('1.Лок.смета.и.Акт'!HI47:'1.Лок.смета.и.Акт'!HI193)</f>
        <v>0</v>
      </c>
      <c r="FV14">
        <f>SUM('1.Лок.смета.и.Акт'!HJ47:'1.Лок.смета.и.Акт'!HJ193)</f>
        <v>0</v>
      </c>
    </row>
    <row r="15" spans="1:178" x14ac:dyDescent="0.2">
      <c r="A15">
        <v>999</v>
      </c>
      <c r="B15" t="s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1"/>
  <sheetViews>
    <sheetView workbookViewId="0">
      <selection activeCell="A177" sqref="A177:AH177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  <c r="IF1">
        <v>-1</v>
      </c>
    </row>
    <row r="2" spans="1:240" x14ac:dyDescent="0.2">
      <c r="G2" s="106">
        <f>'2.Материалы'!G59</f>
        <v>460460.99</v>
      </c>
      <c r="H2" t="s">
        <v>544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3</v>
      </c>
      <c r="H5" t="s">
        <v>380</v>
      </c>
      <c r="T5">
        <v>1</v>
      </c>
      <c r="U5" t="s">
        <v>366</v>
      </c>
      <c r="IF5">
        <v>-1</v>
      </c>
    </row>
    <row r="6" spans="1:240" x14ac:dyDescent="0.2">
      <c r="G6">
        <v>50</v>
      </c>
      <c r="H6" t="s">
        <v>369</v>
      </c>
      <c r="IF6">
        <v>-1</v>
      </c>
    </row>
    <row r="7" spans="1:240" x14ac:dyDescent="0.2">
      <c r="G7">
        <v>2</v>
      </c>
      <c r="H7" t="s">
        <v>484</v>
      </c>
      <c r="IF7">
        <v>-1</v>
      </c>
    </row>
    <row r="8" spans="1:240" x14ac:dyDescent="0.2">
      <c r="G8">
        <f>IF((Source!AR83&lt;&gt;'1.Лок.смета.и.Акт'!P194),0,1)</f>
        <v>1</v>
      </c>
      <c r="H8" t="s">
        <v>463</v>
      </c>
      <c r="IF8">
        <v>-1</v>
      </c>
    </row>
    <row r="9" spans="1:240" x14ac:dyDescent="0.2">
      <c r="G9" s="12" t="s">
        <v>370</v>
      </c>
      <c r="H9" t="s">
        <v>371</v>
      </c>
      <c r="T9" t="s">
        <v>367</v>
      </c>
      <c r="U9" t="s">
        <v>368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175</v>
      </c>
      <c r="C12" s="1">
        <v>0</v>
      </c>
      <c r="D12" s="1">
        <f>ROW(A112)</f>
        <v>112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565256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B112</f>
        <v>175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Установка РУ-10 кВ ТП514 2 комплексов учета электроэнергиии</v>
      </c>
      <c r="H18" s="3"/>
      <c r="I18" s="3"/>
      <c r="J18" s="3"/>
      <c r="K18" s="3"/>
      <c r="L18" s="3"/>
      <c r="M18" s="3"/>
      <c r="N18" s="3"/>
      <c r="O18" s="3">
        <f t="shared" ref="O18:AT18" si="1">O112</f>
        <v>42244.6</v>
      </c>
      <c r="P18" s="3">
        <f t="shared" si="1"/>
        <v>36836.949999999997</v>
      </c>
      <c r="Q18" s="3">
        <f t="shared" si="1"/>
        <v>852.81</v>
      </c>
      <c r="R18" s="3">
        <f t="shared" si="1"/>
        <v>102.36</v>
      </c>
      <c r="S18" s="3">
        <f t="shared" si="1"/>
        <v>4554.84</v>
      </c>
      <c r="T18" s="3">
        <f t="shared" si="1"/>
        <v>0</v>
      </c>
      <c r="U18" s="3">
        <f t="shared" si="1"/>
        <v>356.06594749999999</v>
      </c>
      <c r="V18" s="3">
        <f t="shared" si="1"/>
        <v>7.7554389799999992</v>
      </c>
      <c r="W18" s="3">
        <f t="shared" si="1"/>
        <v>0</v>
      </c>
      <c r="X18" s="3">
        <f t="shared" si="1"/>
        <v>3277.9</v>
      </c>
      <c r="Y18" s="3">
        <f t="shared" si="1"/>
        <v>2081.63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47604.13</v>
      </c>
      <c r="AS18" s="3">
        <f t="shared" si="1"/>
        <v>35956.699999999997</v>
      </c>
      <c r="AT18" s="3">
        <f t="shared" si="1"/>
        <v>3952.25</v>
      </c>
      <c r="AU18" s="3">
        <f t="shared" ref="AU18:BZ18" si="2">AU112</f>
        <v>7695.18</v>
      </c>
      <c r="AV18" s="3">
        <f t="shared" si="2"/>
        <v>36836.949999999997</v>
      </c>
      <c r="AW18" s="3">
        <f t="shared" si="2"/>
        <v>36836.949999999997</v>
      </c>
      <c r="AX18" s="3">
        <f t="shared" si="2"/>
        <v>0</v>
      </c>
      <c r="AY18" s="3">
        <f t="shared" si="2"/>
        <v>36836.949999999997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DG112</f>
        <v>549829.06000000006</v>
      </c>
      <c r="DH18" s="4">
        <f t="shared" si="4"/>
        <v>460461.78</v>
      </c>
      <c r="DI18" s="4">
        <f t="shared" si="4"/>
        <v>10660.09</v>
      </c>
      <c r="DJ18" s="4">
        <f t="shared" si="4"/>
        <v>1279.56</v>
      </c>
      <c r="DK18" s="4">
        <f t="shared" si="4"/>
        <v>78707.19</v>
      </c>
      <c r="DL18" s="4">
        <f t="shared" si="4"/>
        <v>0</v>
      </c>
      <c r="DM18" s="4">
        <f t="shared" si="4"/>
        <v>356.06594749999999</v>
      </c>
      <c r="DN18" s="4">
        <f t="shared" si="4"/>
        <v>7.7554389799999992</v>
      </c>
      <c r="DO18" s="4">
        <f t="shared" si="4"/>
        <v>0</v>
      </c>
      <c r="DP18" s="4">
        <f t="shared" si="4"/>
        <v>55125.02</v>
      </c>
      <c r="DQ18" s="4">
        <f t="shared" si="4"/>
        <v>34728.89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639682.97</v>
      </c>
      <c r="EK18" s="4">
        <f t="shared" si="4"/>
        <v>449458.53</v>
      </c>
      <c r="EL18" s="4">
        <f t="shared" si="4"/>
        <v>49402.85</v>
      </c>
      <c r="EM18" s="4">
        <f t="shared" ref="EM18:FR18" si="5">EM112</f>
        <v>140821.59</v>
      </c>
      <c r="EN18" s="4">
        <f t="shared" si="5"/>
        <v>460461.78</v>
      </c>
      <c r="EO18" s="4">
        <f t="shared" si="5"/>
        <v>460461.78</v>
      </c>
      <c r="EP18" s="4">
        <f t="shared" si="5"/>
        <v>0</v>
      </c>
      <c r="EQ18" s="4">
        <f t="shared" si="5"/>
        <v>460461.78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ROW(A83)</f>
        <v>83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B83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O83</f>
        <v>42244.6</v>
      </c>
      <c r="P22" s="3">
        <f t="shared" si="8"/>
        <v>36836.949999999997</v>
      </c>
      <c r="Q22" s="3">
        <f t="shared" si="8"/>
        <v>852.81</v>
      </c>
      <c r="R22" s="3">
        <f t="shared" si="8"/>
        <v>102.36</v>
      </c>
      <c r="S22" s="3">
        <f t="shared" si="8"/>
        <v>4554.84</v>
      </c>
      <c r="T22" s="3">
        <f t="shared" si="8"/>
        <v>0</v>
      </c>
      <c r="U22" s="3">
        <f t="shared" si="8"/>
        <v>356.06594749999999</v>
      </c>
      <c r="V22" s="3">
        <f t="shared" si="8"/>
        <v>7.7554389799999992</v>
      </c>
      <c r="W22" s="3">
        <f t="shared" si="8"/>
        <v>0</v>
      </c>
      <c r="X22" s="3">
        <f t="shared" si="8"/>
        <v>3277.9</v>
      </c>
      <c r="Y22" s="3">
        <f t="shared" si="8"/>
        <v>2081.63</v>
      </c>
      <c r="Z22" s="3">
        <f t="shared" si="8"/>
        <v>0</v>
      </c>
      <c r="AA22" s="3">
        <f t="shared" si="8"/>
        <v>0</v>
      </c>
      <c r="AB22" s="3">
        <f t="shared" si="8"/>
        <v>42244.6</v>
      </c>
      <c r="AC22" s="3">
        <f t="shared" si="8"/>
        <v>36836.949999999997</v>
      </c>
      <c r="AD22" s="3">
        <f t="shared" si="8"/>
        <v>852.81</v>
      </c>
      <c r="AE22" s="3">
        <f t="shared" si="8"/>
        <v>102.36</v>
      </c>
      <c r="AF22" s="3">
        <f t="shared" si="8"/>
        <v>4554.84</v>
      </c>
      <c r="AG22" s="3">
        <f t="shared" si="8"/>
        <v>0</v>
      </c>
      <c r="AH22" s="3">
        <f t="shared" si="8"/>
        <v>356.06594749999999</v>
      </c>
      <c r="AI22" s="3">
        <f t="shared" si="8"/>
        <v>7.7554389799999992</v>
      </c>
      <c r="AJ22" s="3">
        <f t="shared" si="8"/>
        <v>0</v>
      </c>
      <c r="AK22" s="3">
        <f t="shared" si="8"/>
        <v>3277.9</v>
      </c>
      <c r="AL22" s="3">
        <f t="shared" si="8"/>
        <v>2081.63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47604.13</v>
      </c>
      <c r="AS22" s="3">
        <f t="shared" si="8"/>
        <v>35956.699999999997</v>
      </c>
      <c r="AT22" s="3">
        <f t="shared" si="8"/>
        <v>3952.25</v>
      </c>
      <c r="AU22" s="3">
        <f t="shared" ref="AU22:BZ22" si="9">AU83</f>
        <v>7695.18</v>
      </c>
      <c r="AV22" s="3">
        <f t="shared" si="9"/>
        <v>36836.949999999997</v>
      </c>
      <c r="AW22" s="3">
        <f t="shared" si="9"/>
        <v>36836.949999999997</v>
      </c>
      <c r="AX22" s="3">
        <f t="shared" si="9"/>
        <v>0</v>
      </c>
      <c r="AY22" s="3">
        <f t="shared" si="9"/>
        <v>36836.949999999997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CA83</f>
        <v>47604.13</v>
      </c>
      <c r="CB22" s="3">
        <f t="shared" si="10"/>
        <v>35956.699999999997</v>
      </c>
      <c r="CC22" s="3">
        <f t="shared" si="10"/>
        <v>3952.25</v>
      </c>
      <c r="CD22" s="3">
        <f t="shared" si="10"/>
        <v>7695.18</v>
      </c>
      <c r="CE22" s="3">
        <f t="shared" si="10"/>
        <v>36836.949999999997</v>
      </c>
      <c r="CF22" s="3">
        <f t="shared" si="10"/>
        <v>36836.949999999997</v>
      </c>
      <c r="CG22" s="3">
        <f t="shared" si="10"/>
        <v>0</v>
      </c>
      <c r="CH22" s="3">
        <f t="shared" si="10"/>
        <v>36836.949999999997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DG83</f>
        <v>549829.06000000006</v>
      </c>
      <c r="DH22" s="4">
        <f t="shared" si="11"/>
        <v>460461.78</v>
      </c>
      <c r="DI22" s="4">
        <f t="shared" si="11"/>
        <v>10660.09</v>
      </c>
      <c r="DJ22" s="4">
        <f t="shared" si="11"/>
        <v>1279.56</v>
      </c>
      <c r="DK22" s="4">
        <f t="shared" si="11"/>
        <v>78707.19</v>
      </c>
      <c r="DL22" s="4">
        <f t="shared" si="11"/>
        <v>0</v>
      </c>
      <c r="DM22" s="4">
        <f t="shared" si="11"/>
        <v>356.06594749999999</v>
      </c>
      <c r="DN22" s="4">
        <f t="shared" si="11"/>
        <v>7.7554389799999992</v>
      </c>
      <c r="DO22" s="4">
        <f t="shared" si="11"/>
        <v>0</v>
      </c>
      <c r="DP22" s="4">
        <f t="shared" si="11"/>
        <v>55125.02</v>
      </c>
      <c r="DQ22" s="4">
        <f t="shared" si="11"/>
        <v>34728.89</v>
      </c>
      <c r="DR22" s="4">
        <f t="shared" si="11"/>
        <v>0</v>
      </c>
      <c r="DS22" s="4">
        <f t="shared" si="11"/>
        <v>0</v>
      </c>
      <c r="DT22" s="4">
        <f t="shared" si="11"/>
        <v>549829.06000000006</v>
      </c>
      <c r="DU22" s="4">
        <f t="shared" si="11"/>
        <v>460461.78</v>
      </c>
      <c r="DV22" s="4">
        <f t="shared" si="11"/>
        <v>10660.09</v>
      </c>
      <c r="DW22" s="4">
        <f t="shared" si="11"/>
        <v>1279.56</v>
      </c>
      <c r="DX22" s="4">
        <f t="shared" si="11"/>
        <v>78707.19</v>
      </c>
      <c r="DY22" s="4">
        <f t="shared" si="11"/>
        <v>0</v>
      </c>
      <c r="DZ22" s="4">
        <f t="shared" si="11"/>
        <v>356.06594749999999</v>
      </c>
      <c r="EA22" s="4">
        <f t="shared" si="11"/>
        <v>7.7554389799999992</v>
      </c>
      <c r="EB22" s="4">
        <f t="shared" si="11"/>
        <v>0</v>
      </c>
      <c r="EC22" s="4">
        <f t="shared" si="11"/>
        <v>55125.02</v>
      </c>
      <c r="ED22" s="4">
        <f t="shared" si="11"/>
        <v>34728.89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639682.97</v>
      </c>
      <c r="EK22" s="4">
        <f t="shared" si="11"/>
        <v>449458.53</v>
      </c>
      <c r="EL22" s="4">
        <f t="shared" si="11"/>
        <v>49402.85</v>
      </c>
      <c r="EM22" s="4">
        <f t="shared" ref="EM22:FR22" si="12">EM83</f>
        <v>140821.59</v>
      </c>
      <c r="EN22" s="4">
        <f t="shared" si="12"/>
        <v>460461.78</v>
      </c>
      <c r="EO22" s="4">
        <f t="shared" si="12"/>
        <v>460461.78</v>
      </c>
      <c r="EP22" s="4">
        <f t="shared" si="12"/>
        <v>0</v>
      </c>
      <c r="EQ22" s="4">
        <f t="shared" si="12"/>
        <v>460461.78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FS83</f>
        <v>639682.97</v>
      </c>
      <c r="FT22" s="4">
        <f t="shared" si="13"/>
        <v>449458.53</v>
      </c>
      <c r="FU22" s="4">
        <f t="shared" si="13"/>
        <v>49402.85</v>
      </c>
      <c r="FV22" s="4">
        <f t="shared" si="13"/>
        <v>140821.59</v>
      </c>
      <c r="FW22" s="4">
        <f t="shared" si="13"/>
        <v>460461.78</v>
      </c>
      <c r="FX22" s="4">
        <f t="shared" si="13"/>
        <v>460461.78</v>
      </c>
      <c r="FY22" s="4">
        <f t="shared" si="13"/>
        <v>0</v>
      </c>
      <c r="FZ22" s="4">
        <f t="shared" si="13"/>
        <v>460461.78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ROW(SmtRes!A1)</f>
        <v>1</v>
      </c>
      <c r="D24" s="2">
        <f>ROW(EtalonRes!A2)</f>
        <v>2</v>
      </c>
      <c r="E24" s="2" t="s">
        <v>13</v>
      </c>
      <c r="F24" s="2" t="s">
        <v>14</v>
      </c>
      <c r="G24" s="2" t="s">
        <v>15</v>
      </c>
      <c r="H24" s="2" t="s">
        <v>16</v>
      </c>
      <c r="I24" s="2">
        <f>'1.Лок.смета.и.Акт'!E47</f>
        <v>0.08</v>
      </c>
      <c r="J24" s="2">
        <v>0</v>
      </c>
      <c r="K24" s="2"/>
      <c r="L24" s="2"/>
      <c r="M24" s="2"/>
      <c r="N24" s="2"/>
      <c r="O24" s="2">
        <f t="shared" ref="O24:O55" si="14">ROUND(CP24,2)</f>
        <v>3.75</v>
      </c>
      <c r="P24" s="2">
        <f t="shared" ref="P24:P55" si="15">ROUND(CQ24*I24,2)</f>
        <v>0</v>
      </c>
      <c r="Q24" s="2">
        <f t="shared" ref="Q24:Q55" si="16">ROUND(CR24*I24,2)</f>
        <v>0</v>
      </c>
      <c r="R24" s="2">
        <f t="shared" ref="R24:R55" si="17">ROUND(CS24*I24,2)</f>
        <v>0</v>
      </c>
      <c r="S24" s="2">
        <f t="shared" ref="S24:S55" si="18">ROUND(CT24*I24,2)</f>
        <v>3.75</v>
      </c>
      <c r="T24" s="2">
        <f t="shared" ref="T24:T55" si="19">ROUND(CU24*I24,2)</f>
        <v>0</v>
      </c>
      <c r="U24" s="2">
        <f t="shared" ref="U24:U55" si="20">CV24*I24</f>
        <v>0.43920000000000003</v>
      </c>
      <c r="V24" s="2">
        <f t="shared" ref="V24:V55" si="21">CW24*I24</f>
        <v>0</v>
      </c>
      <c r="W24" s="2">
        <f t="shared" ref="W24:W55" si="22">ROUND(CX24*I24,2)</f>
        <v>0</v>
      </c>
      <c r="X24" s="2">
        <f t="shared" ref="X24:X55" si="23">ROUND(CY24,2)</f>
        <v>2.93</v>
      </c>
      <c r="Y24" s="2">
        <f t="shared" ref="Y24:Y55" si="24">ROUND(CZ24,2)</f>
        <v>1.88</v>
      </c>
      <c r="Z24" s="2"/>
      <c r="AA24" s="2">
        <v>34748518</v>
      </c>
      <c r="AB24" s="2">
        <f t="shared" ref="AB24:AB55" si="25">ROUND((AC24+AD24+AF24),2)</f>
        <v>46.83</v>
      </c>
      <c r="AC24" s="2">
        <f t="shared" ref="AC24:AC55" si="26">ROUND((ES24),2)</f>
        <v>0</v>
      </c>
      <c r="AD24" s="2">
        <f t="shared" ref="AD24:AD55" si="27">ROUND((((ET24)-(EU24))+AE24),2)</f>
        <v>0</v>
      </c>
      <c r="AE24" s="2">
        <f t="shared" ref="AE24:AE55" si="28">ROUND((EU24),2)</f>
        <v>0</v>
      </c>
      <c r="AF24" s="2">
        <f t="shared" ref="AF24:AF55" si="29">ROUND((EV24),2)</f>
        <v>46.83</v>
      </c>
      <c r="AG24" s="2">
        <f t="shared" ref="AG24:AG55" si="30">ROUND((AP24),2)</f>
        <v>0</v>
      </c>
      <c r="AH24" s="2">
        <f t="shared" ref="AH24:AH55" si="31">(EW24)</f>
        <v>5.49</v>
      </c>
      <c r="AI24" s="2">
        <f t="shared" ref="AI24:AI55" si="32">(EX24)</f>
        <v>0</v>
      </c>
      <c r="AJ24" s="2">
        <f t="shared" ref="AJ24:AJ55" si="33">(AS24)</f>
        <v>0</v>
      </c>
      <c r="AK24" s="2">
        <v>46.83</v>
      </c>
      <c r="AL24" s="2">
        <v>0</v>
      </c>
      <c r="AM24" s="2">
        <v>0</v>
      </c>
      <c r="AN24" s="2">
        <v>0</v>
      </c>
      <c r="AO24" s="2">
        <v>46.83</v>
      </c>
      <c r="AP24" s="2">
        <v>0</v>
      </c>
      <c r="AQ24" s="2">
        <v>5.49</v>
      </c>
      <c r="AR24" s="2">
        <v>0</v>
      </c>
      <c r="AS24" s="2">
        <v>0</v>
      </c>
      <c r="AT24" s="2">
        <v>78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17</v>
      </c>
      <c r="BK24" s="2"/>
      <c r="BL24" s="2"/>
      <c r="BM24" s="2">
        <v>69001</v>
      </c>
      <c r="BN24" s="2">
        <v>0</v>
      </c>
      <c r="BO24" s="2" t="s">
        <v>3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78</v>
      </c>
      <c r="CA24" s="2">
        <v>50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3.75</v>
      </c>
      <c r="CQ24" s="2">
        <f t="shared" ref="CQ24:CQ55" si="35">AC24*BC24</f>
        <v>0</v>
      </c>
      <c r="CR24" s="2">
        <f t="shared" ref="CR24:CR55" si="36">AD24*BB24</f>
        <v>0</v>
      </c>
      <c r="CS24" s="2">
        <f t="shared" ref="CS24:CS55" si="37">AE24*BS24</f>
        <v>0</v>
      </c>
      <c r="CT24" s="2">
        <f t="shared" ref="CT24:CT55" si="38">AF24*BA24</f>
        <v>46.83</v>
      </c>
      <c r="CU24" s="2">
        <f t="shared" ref="CU24:CU55" si="39">AG24</f>
        <v>0</v>
      </c>
      <c r="CV24" s="2">
        <f t="shared" ref="CV24:CV55" si="40">AH24</f>
        <v>5.49</v>
      </c>
      <c r="CW24" s="2">
        <f t="shared" ref="CW24:CW55" si="41">AI24</f>
        <v>0</v>
      </c>
      <c r="CX24" s="2">
        <f t="shared" ref="CX24:CX55" si="42">AJ24</f>
        <v>0</v>
      </c>
      <c r="CY24" s="2">
        <f t="shared" ref="CY24:CY55" si="43">(((S24+(R24*IF(0,0,1)))*AT24)/100)</f>
        <v>2.9249999999999998</v>
      </c>
      <c r="CZ24" s="2">
        <f t="shared" ref="CZ24:CZ55" si="44">(((S24+(R24*IF(0,0,1)))*AU24)/100)</f>
        <v>1.875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16</v>
      </c>
      <c r="DW24" s="2" t="s">
        <v>16</v>
      </c>
      <c r="DX24" s="2">
        <v>1</v>
      </c>
      <c r="DY24" s="2"/>
      <c r="DZ24" s="2"/>
      <c r="EA24" s="2"/>
      <c r="EB24" s="2"/>
      <c r="EC24" s="2"/>
      <c r="ED24" s="2"/>
      <c r="EE24" s="2">
        <v>32653485</v>
      </c>
      <c r="EF24" s="2">
        <v>6</v>
      </c>
      <c r="EG24" s="2" t="s">
        <v>18</v>
      </c>
      <c r="EH24" s="2">
        <v>0</v>
      </c>
      <c r="EI24" s="2" t="s">
        <v>3</v>
      </c>
      <c r="EJ24" s="2">
        <v>1</v>
      </c>
      <c r="EK24" s="2">
        <v>69001</v>
      </c>
      <c r="EL24" s="2" t="s">
        <v>19</v>
      </c>
      <c r="EM24" s="2" t="s">
        <v>20</v>
      </c>
      <c r="EN24" s="2"/>
      <c r="EO24" s="2" t="s">
        <v>3</v>
      </c>
      <c r="EP24" s="2"/>
      <c r="EQ24" s="2">
        <v>0</v>
      </c>
      <c r="ER24" s="2">
        <v>46.83</v>
      </c>
      <c r="ES24" s="2">
        <v>0</v>
      </c>
      <c r="ET24" s="2">
        <v>0</v>
      </c>
      <c r="EU24" s="2">
        <v>0</v>
      </c>
      <c r="EV24" s="2">
        <v>46.83</v>
      </c>
      <c r="EW24" s="2">
        <v>5.49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78</v>
      </c>
      <c r="FY24" s="2">
        <v>50</v>
      </c>
      <c r="FZ24" s="2"/>
      <c r="GA24" s="2" t="s">
        <v>3</v>
      </c>
      <c r="GB24" s="2"/>
      <c r="GC24" s="2"/>
      <c r="GD24" s="2">
        <v>1</v>
      </c>
      <c r="GE24" s="2"/>
      <c r="GF24" s="2">
        <v>-1700458268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5" si="46">ROUND(IF(AND(BH24=3,BI24=3,FS24&lt;&gt;0),P24,0),2)</f>
        <v>0</v>
      </c>
      <c r="GM24" s="2">
        <f t="shared" ref="GM24:GM55" si="47">ROUND(O24+X24+Y24,2)+GX24</f>
        <v>8.56</v>
      </c>
      <c r="GN24" s="2">
        <f t="shared" ref="GN24:GN55" si="48">IF(OR(BI24=0,BI24=1),ROUND(O24+X24+Y24,2),0)</f>
        <v>8.56</v>
      </c>
      <c r="GO24" s="2">
        <f t="shared" ref="GO24:GO55" si="49">IF(BI24=2,ROUND(O24+X24+Y24,2),0)</f>
        <v>0</v>
      </c>
      <c r="GP24" s="2">
        <f t="shared" ref="GP24:GP55" si="50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ROUND((GT24),2)</f>
        <v>0</v>
      </c>
      <c r="GW24" s="2">
        <v>1</v>
      </c>
      <c r="GX24" s="2">
        <f t="shared" ref="GX24:GX55" si="52">ROUND(HC24*I24,2)</f>
        <v>0</v>
      </c>
      <c r="GY24" s="2"/>
      <c r="GZ24" s="2"/>
      <c r="HA24" s="2">
        <v>0</v>
      </c>
      <c r="HB24" s="2">
        <v>0</v>
      </c>
      <c r="HC24" s="2">
        <f t="shared" ref="HC24:HC55" si="53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ROW(SmtRes!A2)</f>
        <v>2</v>
      </c>
      <c r="D25">
        <f>ROW(EtalonRes!A4)</f>
        <v>4</v>
      </c>
      <c r="E25" t="s">
        <v>13</v>
      </c>
      <c r="F25" t="s">
        <v>14</v>
      </c>
      <c r="G25" t="s">
        <v>15</v>
      </c>
      <c r="H25" t="s">
        <v>16</v>
      </c>
      <c r="I25">
        <f>'1.Лок.смета.и.Акт'!E47</f>
        <v>0.08</v>
      </c>
      <c r="J25">
        <v>0</v>
      </c>
      <c r="O25">
        <f t="shared" si="14"/>
        <v>46.83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46.83</v>
      </c>
      <c r="T25">
        <f t="shared" si="19"/>
        <v>0</v>
      </c>
      <c r="U25">
        <f t="shared" si="20"/>
        <v>0.43920000000000003</v>
      </c>
      <c r="V25">
        <f t="shared" si="21"/>
        <v>0</v>
      </c>
      <c r="W25">
        <f t="shared" si="22"/>
        <v>0</v>
      </c>
      <c r="X25">
        <f t="shared" si="23"/>
        <v>36.53</v>
      </c>
      <c r="Y25">
        <f t="shared" si="24"/>
        <v>23.42</v>
      </c>
      <c r="AA25">
        <v>34748540</v>
      </c>
      <c r="AB25">
        <f t="shared" si="25"/>
        <v>46.83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 t="shared" si="29"/>
        <v>46.83</v>
      </c>
      <c r="AG25">
        <f t="shared" si="30"/>
        <v>0</v>
      </c>
      <c r="AH25">
        <f t="shared" si="31"/>
        <v>5.49</v>
      </c>
      <c r="AI25">
        <f t="shared" si="32"/>
        <v>0</v>
      </c>
      <c r="AJ25">
        <f t="shared" si="33"/>
        <v>0</v>
      </c>
      <c r="AK25">
        <f>AL25+AM25+AO25</f>
        <v>46.83</v>
      </c>
      <c r="AL25">
        <v>0</v>
      </c>
      <c r="AM25">
        <v>0</v>
      </c>
      <c r="AN25">
        <v>0</v>
      </c>
      <c r="AO25" s="106">
        <f>'1.Лок.смета.и.Акт'!F48</f>
        <v>46.83</v>
      </c>
      <c r="AP25">
        <v>0</v>
      </c>
      <c r="AQ25">
        <f>'1.Лок.смета.и.Акт'!E51</f>
        <v>5.49</v>
      </c>
      <c r="AR25">
        <v>0</v>
      </c>
      <c r="AS25">
        <v>0</v>
      </c>
      <c r="AT25">
        <v>78</v>
      </c>
      <c r="AU25">
        <v>50</v>
      </c>
      <c r="AV25">
        <v>1</v>
      </c>
      <c r="AW25">
        <v>1</v>
      </c>
      <c r="AZ25">
        <v>12.5</v>
      </c>
      <c r="BA25">
        <f>'1.Лок.смета.и.Акт'!J48</f>
        <v>12.5</v>
      </c>
      <c r="BB25">
        <v>12.5</v>
      </c>
      <c r="BC25">
        <v>12.5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17</v>
      </c>
      <c r="BM25">
        <v>69001</v>
      </c>
      <c r="BN25">
        <v>0</v>
      </c>
      <c r="BO25" t="s">
        <v>3</v>
      </c>
      <c r="BP25">
        <v>0</v>
      </c>
      <c r="BQ25">
        <v>6</v>
      </c>
      <c r="BR25">
        <v>0</v>
      </c>
      <c r="BS25">
        <v>12.5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78</v>
      </c>
      <c r="CA25">
        <v>50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46.83</v>
      </c>
      <c r="CQ25">
        <f t="shared" si="35"/>
        <v>0</v>
      </c>
      <c r="CR25">
        <f t="shared" si="36"/>
        <v>0</v>
      </c>
      <c r="CS25">
        <f t="shared" si="37"/>
        <v>0</v>
      </c>
      <c r="CT25">
        <f t="shared" si="38"/>
        <v>585.375</v>
      </c>
      <c r="CU25">
        <f t="shared" si="39"/>
        <v>0</v>
      </c>
      <c r="CV25">
        <f t="shared" si="40"/>
        <v>5.49</v>
      </c>
      <c r="CW25">
        <f t="shared" si="41"/>
        <v>0</v>
      </c>
      <c r="CX25">
        <f t="shared" si="42"/>
        <v>0</v>
      </c>
      <c r="CY25">
        <f t="shared" si="43"/>
        <v>36.5274</v>
      </c>
      <c r="CZ25">
        <f t="shared" si="44"/>
        <v>23.414999999999999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16</v>
      </c>
      <c r="DW25" t="str">
        <f>'1.Лок.смета.и.Акт'!D47</f>
        <v>100 ШТ</v>
      </c>
      <c r="DX25">
        <v>1</v>
      </c>
      <c r="EE25">
        <v>32653485</v>
      </c>
      <c r="EF25">
        <v>6</v>
      </c>
      <c r="EG25" t="s">
        <v>18</v>
      </c>
      <c r="EH25">
        <v>0</v>
      </c>
      <c r="EI25" t="s">
        <v>3</v>
      </c>
      <c r="EJ25">
        <v>1</v>
      </c>
      <c r="EK25">
        <v>69001</v>
      </c>
      <c r="EL25" t="s">
        <v>19</v>
      </c>
      <c r="EM25" t="s">
        <v>20</v>
      </c>
      <c r="EO25" t="s">
        <v>3</v>
      </c>
      <c r="EQ25">
        <v>0</v>
      </c>
      <c r="ER25">
        <f>ES25+ET25+EV25</f>
        <v>46.83</v>
      </c>
      <c r="ES25">
        <v>0</v>
      </c>
      <c r="ET25">
        <v>0</v>
      </c>
      <c r="EU25">
        <v>0</v>
      </c>
      <c r="EV25" s="106">
        <f>'1.Лок.смета.и.Акт'!F48</f>
        <v>46.83</v>
      </c>
      <c r="EW25">
        <f>'1.Лок.смета.и.Акт'!E51</f>
        <v>5.49</v>
      </c>
      <c r="EX25">
        <v>0</v>
      </c>
      <c r="EY25">
        <v>0</v>
      </c>
      <c r="FQ25">
        <v>0</v>
      </c>
      <c r="FR25">
        <f t="shared" si="45"/>
        <v>0</v>
      </c>
      <c r="FS25">
        <v>0</v>
      </c>
      <c r="FX25">
        <v>78</v>
      </c>
      <c r="FY25">
        <v>50</v>
      </c>
      <c r="GA25" t="s">
        <v>3</v>
      </c>
      <c r="GD25">
        <v>1</v>
      </c>
      <c r="GF25">
        <v>-1700458268</v>
      </c>
      <c r="GG25">
        <v>1</v>
      </c>
      <c r="GH25">
        <v>1</v>
      </c>
      <c r="GI25">
        <v>4</v>
      </c>
      <c r="GJ25">
        <v>0</v>
      </c>
      <c r="GK25">
        <v>0</v>
      </c>
      <c r="GL25">
        <f t="shared" si="46"/>
        <v>0</v>
      </c>
      <c r="GM25">
        <f t="shared" si="47"/>
        <v>106.78</v>
      </c>
      <c r="GN25">
        <f t="shared" si="48"/>
        <v>106.78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F25">
        <v>-1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ROW(SmtRes!A10)</f>
        <v>10</v>
      </c>
      <c r="D26" s="2">
        <f>ROW(EtalonRes!A12)</f>
        <v>12</v>
      </c>
      <c r="E26" s="2" t="s">
        <v>21</v>
      </c>
      <c r="F26" s="2" t="s">
        <v>22</v>
      </c>
      <c r="G26" s="2" t="s">
        <v>23</v>
      </c>
      <c r="H26" s="2" t="s">
        <v>24</v>
      </c>
      <c r="I26" s="2">
        <f>'1.Лок.смета.и.Акт'!E53</f>
        <v>6</v>
      </c>
      <c r="J26" s="2">
        <v>0</v>
      </c>
      <c r="K26" s="2"/>
      <c r="L26" s="2"/>
      <c r="M26" s="2"/>
      <c r="N26" s="2"/>
      <c r="O26" s="2">
        <f t="shared" si="14"/>
        <v>246.12</v>
      </c>
      <c r="P26" s="2">
        <f t="shared" si="15"/>
        <v>47.4</v>
      </c>
      <c r="Q26" s="2">
        <f t="shared" si="16"/>
        <v>58.44</v>
      </c>
      <c r="R26" s="2">
        <f t="shared" si="17"/>
        <v>7.38</v>
      </c>
      <c r="S26" s="2">
        <f t="shared" si="18"/>
        <v>140.28</v>
      </c>
      <c r="T26" s="2">
        <f t="shared" si="19"/>
        <v>0</v>
      </c>
      <c r="U26" s="2">
        <f t="shared" si="20"/>
        <v>14.580000000000002</v>
      </c>
      <c r="V26" s="2">
        <f t="shared" si="21"/>
        <v>0.60000000000000009</v>
      </c>
      <c r="W26" s="2">
        <f t="shared" si="22"/>
        <v>0</v>
      </c>
      <c r="X26" s="2">
        <f t="shared" si="23"/>
        <v>140.28</v>
      </c>
      <c r="Y26" s="2">
        <f t="shared" si="24"/>
        <v>95.98</v>
      </c>
      <c r="Z26" s="2"/>
      <c r="AA26" s="2">
        <v>34748518</v>
      </c>
      <c r="AB26" s="2">
        <f t="shared" si="25"/>
        <v>41.02</v>
      </c>
      <c r="AC26" s="2">
        <f t="shared" si="26"/>
        <v>7.9</v>
      </c>
      <c r="AD26" s="2">
        <f t="shared" si="27"/>
        <v>9.74</v>
      </c>
      <c r="AE26" s="2">
        <f t="shared" si="28"/>
        <v>1.23</v>
      </c>
      <c r="AF26" s="2">
        <f t="shared" si="29"/>
        <v>23.38</v>
      </c>
      <c r="AG26" s="2">
        <f t="shared" si="30"/>
        <v>0</v>
      </c>
      <c r="AH26" s="2">
        <f t="shared" si="31"/>
        <v>2.4300000000000002</v>
      </c>
      <c r="AI26" s="2">
        <f t="shared" si="32"/>
        <v>0.1</v>
      </c>
      <c r="AJ26" s="2">
        <f t="shared" si="33"/>
        <v>0</v>
      </c>
      <c r="AK26" s="2">
        <v>41.02</v>
      </c>
      <c r="AL26" s="2">
        <v>7.9</v>
      </c>
      <c r="AM26" s="2">
        <v>9.74</v>
      </c>
      <c r="AN26" s="2">
        <v>1.23</v>
      </c>
      <c r="AO26" s="2">
        <v>23.38</v>
      </c>
      <c r="AP26" s="2">
        <v>0</v>
      </c>
      <c r="AQ26" s="2">
        <v>2.4300000000000002</v>
      </c>
      <c r="AR26" s="2">
        <v>0.1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25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246.12</v>
      </c>
      <c r="CQ26" s="2">
        <f t="shared" si="35"/>
        <v>7.9</v>
      </c>
      <c r="CR26" s="2">
        <f t="shared" si="36"/>
        <v>9.74</v>
      </c>
      <c r="CS26" s="2">
        <f t="shared" si="37"/>
        <v>1.23</v>
      </c>
      <c r="CT26" s="2">
        <f t="shared" si="38"/>
        <v>23.38</v>
      </c>
      <c r="CU26" s="2">
        <f t="shared" si="39"/>
        <v>0</v>
      </c>
      <c r="CV26" s="2">
        <f t="shared" si="40"/>
        <v>2.4300000000000002</v>
      </c>
      <c r="CW26" s="2">
        <f t="shared" si="41"/>
        <v>0.1</v>
      </c>
      <c r="CX26" s="2">
        <f t="shared" si="42"/>
        <v>0</v>
      </c>
      <c r="CY26" s="2">
        <f t="shared" si="43"/>
        <v>140.27699999999999</v>
      </c>
      <c r="CZ26" s="2">
        <f t="shared" si="44"/>
        <v>95.978999999999999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24</v>
      </c>
      <c r="DW26" s="2" t="s">
        <v>24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26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27</v>
      </c>
      <c r="EM26" s="2" t="s">
        <v>28</v>
      </c>
      <c r="EN26" s="2"/>
      <c r="EO26" s="2" t="s">
        <v>3</v>
      </c>
      <c r="EP26" s="2"/>
      <c r="EQ26" s="2">
        <v>0</v>
      </c>
      <c r="ER26" s="2">
        <v>41.02</v>
      </c>
      <c r="ES26" s="2">
        <v>7.9</v>
      </c>
      <c r="ET26" s="2">
        <v>9.74</v>
      </c>
      <c r="EU26" s="2">
        <v>1.23</v>
      </c>
      <c r="EV26" s="2">
        <v>23.38</v>
      </c>
      <c r="EW26" s="2">
        <v>2.4300000000000002</v>
      </c>
      <c r="EX26" s="2">
        <v>0.1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1</v>
      </c>
      <c r="GE26" s="2"/>
      <c r="GF26" s="2">
        <v>-457263254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6"/>
        <v>0</v>
      </c>
      <c r="GM26" s="2">
        <f t="shared" si="47"/>
        <v>482.38</v>
      </c>
      <c r="GN26" s="2">
        <f t="shared" si="48"/>
        <v>0</v>
      </c>
      <c r="GO26" s="2">
        <f t="shared" si="49"/>
        <v>482.38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>
        <f t="shared" si="53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ROW(SmtRes!A18)</f>
        <v>18</v>
      </c>
      <c r="D27">
        <f>ROW(EtalonRes!A20)</f>
        <v>20</v>
      </c>
      <c r="E27" t="s">
        <v>21</v>
      </c>
      <c r="F27" t="s">
        <v>22</v>
      </c>
      <c r="G27" t="s">
        <v>23</v>
      </c>
      <c r="H27" t="s">
        <v>24</v>
      </c>
      <c r="I27">
        <f>'1.Лок.смета.и.Акт'!E53</f>
        <v>6</v>
      </c>
      <c r="J27">
        <v>0</v>
      </c>
      <c r="O27">
        <f t="shared" si="14"/>
        <v>3076.5</v>
      </c>
      <c r="P27">
        <f t="shared" si="15"/>
        <v>592.5</v>
      </c>
      <c r="Q27">
        <f t="shared" si="16"/>
        <v>730.5</v>
      </c>
      <c r="R27">
        <f t="shared" si="17"/>
        <v>92.25</v>
      </c>
      <c r="S27">
        <f t="shared" si="18"/>
        <v>1753.5</v>
      </c>
      <c r="T27">
        <f t="shared" si="19"/>
        <v>0</v>
      </c>
      <c r="U27">
        <f t="shared" si="20"/>
        <v>14.580000000000002</v>
      </c>
      <c r="V27">
        <f t="shared" si="21"/>
        <v>0.60000000000000009</v>
      </c>
      <c r="W27">
        <f t="shared" si="22"/>
        <v>0</v>
      </c>
      <c r="X27">
        <f t="shared" si="23"/>
        <v>1753.46</v>
      </c>
      <c r="Y27">
        <f t="shared" si="24"/>
        <v>1199.74</v>
      </c>
      <c r="AA27">
        <v>34748540</v>
      </c>
      <c r="AB27">
        <f t="shared" si="25"/>
        <v>41.02</v>
      </c>
      <c r="AC27">
        <f t="shared" si="26"/>
        <v>7.9</v>
      </c>
      <c r="AD27">
        <f t="shared" si="27"/>
        <v>9.74</v>
      </c>
      <c r="AE27">
        <f t="shared" si="28"/>
        <v>1.23</v>
      </c>
      <c r="AF27">
        <f t="shared" si="29"/>
        <v>23.38</v>
      </c>
      <c r="AG27">
        <f t="shared" si="30"/>
        <v>0</v>
      </c>
      <c r="AH27">
        <f t="shared" si="31"/>
        <v>2.4300000000000002</v>
      </c>
      <c r="AI27">
        <f t="shared" si="32"/>
        <v>0.1</v>
      </c>
      <c r="AJ27">
        <f t="shared" si="33"/>
        <v>0</v>
      </c>
      <c r="AK27">
        <f>AL27+AM27+AO27</f>
        <v>41.019999999999996</v>
      </c>
      <c r="AL27" s="106">
        <f>'1.Лок.смета.и.Акт'!F57</f>
        <v>7.9</v>
      </c>
      <c r="AM27" s="106">
        <f>'1.Лок.смета.и.Акт'!F55</f>
        <v>9.74</v>
      </c>
      <c r="AN27" s="106">
        <f>'1.Лок.смета.и.Акт'!F56</f>
        <v>1.23</v>
      </c>
      <c r="AO27" s="106">
        <f>'1.Лок.смета.и.Акт'!F54</f>
        <v>23.38</v>
      </c>
      <c r="AP27">
        <v>0</v>
      </c>
      <c r="AQ27">
        <f>'1.Лок.смета.и.Акт'!E60</f>
        <v>2.4300000000000002</v>
      </c>
      <c r="AR27">
        <v>0.1</v>
      </c>
      <c r="AS27">
        <v>0</v>
      </c>
      <c r="AT27">
        <v>95</v>
      </c>
      <c r="AU27">
        <v>65</v>
      </c>
      <c r="AV27">
        <v>1</v>
      </c>
      <c r="AW27">
        <v>1</v>
      </c>
      <c r="AZ27">
        <v>12.5</v>
      </c>
      <c r="BA27">
        <f>'1.Лок.смета.и.Акт'!J54</f>
        <v>12.5</v>
      </c>
      <c r="BB27">
        <f>'1.Лок.смета.и.Акт'!J55</f>
        <v>12.5</v>
      </c>
      <c r="BC27">
        <f>'1.Лок.смета.и.Акт'!J57</f>
        <v>12.5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25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'1.Лок.смета.и.Акт'!J56</f>
        <v>12.5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3076.5</v>
      </c>
      <c r="CQ27">
        <f t="shared" si="35"/>
        <v>98.75</v>
      </c>
      <c r="CR27">
        <f t="shared" si="36"/>
        <v>121.75</v>
      </c>
      <c r="CS27">
        <f t="shared" si="37"/>
        <v>15.375</v>
      </c>
      <c r="CT27">
        <f t="shared" si="38"/>
        <v>292.25</v>
      </c>
      <c r="CU27">
        <f t="shared" si="39"/>
        <v>0</v>
      </c>
      <c r="CV27">
        <f t="shared" si="40"/>
        <v>2.4300000000000002</v>
      </c>
      <c r="CW27">
        <f t="shared" si="41"/>
        <v>0.1</v>
      </c>
      <c r="CX27">
        <f t="shared" si="42"/>
        <v>0</v>
      </c>
      <c r="CY27">
        <f t="shared" si="43"/>
        <v>1753.4625000000001</v>
      </c>
      <c r="CZ27">
        <f t="shared" si="44"/>
        <v>1199.7375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24</v>
      </c>
      <c r="DW27" t="str">
        <f>'1.Лок.смета.и.Акт'!D53</f>
        <v>ШТ</v>
      </c>
      <c r="DX27">
        <v>1</v>
      </c>
      <c r="EE27">
        <v>32653241</v>
      </c>
      <c r="EF27">
        <v>2</v>
      </c>
      <c r="EG27" t="s">
        <v>26</v>
      </c>
      <c r="EH27">
        <v>0</v>
      </c>
      <c r="EI27" t="s">
        <v>3</v>
      </c>
      <c r="EJ27">
        <v>2</v>
      </c>
      <c r="EK27">
        <v>108001</v>
      </c>
      <c r="EL27" t="s">
        <v>27</v>
      </c>
      <c r="EM27" t="s">
        <v>28</v>
      </c>
      <c r="EO27" t="s">
        <v>3</v>
      </c>
      <c r="EQ27">
        <v>0</v>
      </c>
      <c r="ER27">
        <f>ES27+ET27+EV27</f>
        <v>41.019999999999996</v>
      </c>
      <c r="ES27" s="106">
        <f>'1.Лок.смета.и.Акт'!F57</f>
        <v>7.9</v>
      </c>
      <c r="ET27" s="106">
        <f>'1.Лок.смета.и.Акт'!F55</f>
        <v>9.74</v>
      </c>
      <c r="EU27" s="106">
        <f>'1.Лок.смета.и.Акт'!F56</f>
        <v>1.23</v>
      </c>
      <c r="EV27" s="106">
        <f>'1.Лок.смета.и.Акт'!F54</f>
        <v>23.38</v>
      </c>
      <c r="EW27">
        <f>'1.Лок.смета.и.Акт'!E60</f>
        <v>2.4300000000000002</v>
      </c>
      <c r="EX27">
        <v>0.1</v>
      </c>
      <c r="EY27">
        <v>0</v>
      </c>
      <c r="FQ27">
        <v>0</v>
      </c>
      <c r="FR27">
        <f t="shared" si="45"/>
        <v>0</v>
      </c>
      <c r="FS27">
        <v>0</v>
      </c>
      <c r="FX27">
        <v>95</v>
      </c>
      <c r="FY27">
        <v>65</v>
      </c>
      <c r="GA27" t="s">
        <v>3</v>
      </c>
      <c r="GD27">
        <v>1</v>
      </c>
      <c r="GF27">
        <v>-457263254</v>
      </c>
      <c r="GG27">
        <v>1</v>
      </c>
      <c r="GH27">
        <v>1</v>
      </c>
      <c r="GI27">
        <v>4</v>
      </c>
      <c r="GJ27">
        <v>0</v>
      </c>
      <c r="GK27">
        <v>0</v>
      </c>
      <c r="GL27">
        <f t="shared" si="46"/>
        <v>0</v>
      </c>
      <c r="GM27">
        <f t="shared" si="47"/>
        <v>6029.7</v>
      </c>
      <c r="GN27">
        <f t="shared" si="48"/>
        <v>0</v>
      </c>
      <c r="GO27">
        <f t="shared" si="49"/>
        <v>6029.7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ROW(SmtRes!A20)</f>
        <v>20</v>
      </c>
      <c r="D28" s="2">
        <f>ROW(EtalonRes!A22)</f>
        <v>22</v>
      </c>
      <c r="E28" s="2" t="s">
        <v>29</v>
      </c>
      <c r="F28" s="2" t="s">
        <v>30</v>
      </c>
      <c r="G28" s="2" t="s">
        <v>31</v>
      </c>
      <c r="H28" s="2" t="s">
        <v>24</v>
      </c>
      <c r="I28" s="2">
        <f>'1.Лок.смета.и.Акт'!E62</f>
        <v>6</v>
      </c>
      <c r="J28" s="2">
        <v>0</v>
      </c>
      <c r="K28" s="2"/>
      <c r="L28" s="2"/>
      <c r="M28" s="2"/>
      <c r="N28" s="2"/>
      <c r="O28" s="2">
        <f t="shared" si="14"/>
        <v>327.3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327.3</v>
      </c>
      <c r="T28" s="2">
        <f t="shared" si="19"/>
        <v>0</v>
      </c>
      <c r="U28" s="2">
        <f t="shared" si="20"/>
        <v>27</v>
      </c>
      <c r="V28" s="2">
        <f t="shared" si="21"/>
        <v>0</v>
      </c>
      <c r="W28" s="2">
        <f t="shared" si="22"/>
        <v>0</v>
      </c>
      <c r="X28" s="2">
        <f t="shared" si="23"/>
        <v>212.75</v>
      </c>
      <c r="Y28" s="2">
        <f t="shared" si="24"/>
        <v>130.91999999999999</v>
      </c>
      <c r="Z28" s="2"/>
      <c r="AA28" s="2">
        <v>34748518</v>
      </c>
      <c r="AB28" s="2">
        <f t="shared" si="25"/>
        <v>54.55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54.55</v>
      </c>
      <c r="AG28" s="2">
        <f t="shared" si="30"/>
        <v>0</v>
      </c>
      <c r="AH28" s="2">
        <f t="shared" si="31"/>
        <v>4.5</v>
      </c>
      <c r="AI28" s="2">
        <f t="shared" si="32"/>
        <v>0</v>
      </c>
      <c r="AJ28" s="2">
        <f t="shared" si="33"/>
        <v>0</v>
      </c>
      <c r="AK28" s="2">
        <v>54.55</v>
      </c>
      <c r="AL28" s="2">
        <v>0</v>
      </c>
      <c r="AM28" s="2">
        <v>0</v>
      </c>
      <c r="AN28" s="2">
        <v>0</v>
      </c>
      <c r="AO28" s="2">
        <v>54.55</v>
      </c>
      <c r="AP28" s="2">
        <v>0</v>
      </c>
      <c r="AQ28" s="2">
        <v>4.5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327.3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54.55</v>
      </c>
      <c r="CU28" s="2">
        <f t="shared" si="39"/>
        <v>0</v>
      </c>
      <c r="CV28" s="2">
        <f t="shared" si="40"/>
        <v>4.5</v>
      </c>
      <c r="CW28" s="2">
        <f t="shared" si="41"/>
        <v>0</v>
      </c>
      <c r="CX28" s="2">
        <f t="shared" si="42"/>
        <v>0</v>
      </c>
      <c r="CY28" s="2">
        <f t="shared" si="43"/>
        <v>212.745</v>
      </c>
      <c r="CZ28" s="2">
        <f t="shared" si="44"/>
        <v>130.91999999999999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24</v>
      </c>
      <c r="DW28" s="2" t="s">
        <v>24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33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54.55</v>
      </c>
      <c r="ES28" s="2">
        <v>0</v>
      </c>
      <c r="ET28" s="2">
        <v>0</v>
      </c>
      <c r="EU28" s="2">
        <v>0</v>
      </c>
      <c r="EV28" s="2">
        <v>54.55</v>
      </c>
      <c r="EW28" s="2">
        <v>4.5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1</v>
      </c>
      <c r="GE28" s="2"/>
      <c r="GF28" s="2">
        <v>23551583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6"/>
        <v>0</v>
      </c>
      <c r="GM28" s="2">
        <f t="shared" si="47"/>
        <v>670.97</v>
      </c>
      <c r="GN28" s="2">
        <f t="shared" si="48"/>
        <v>0</v>
      </c>
      <c r="GO28" s="2">
        <f t="shared" si="49"/>
        <v>0</v>
      </c>
      <c r="GP28" s="2">
        <f t="shared" si="50"/>
        <v>670.97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>
        <f t="shared" si="53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ROW(EtalonRes!A24)</f>
        <v>24</v>
      </c>
      <c r="E29" t="s">
        <v>29</v>
      </c>
      <c r="F29" t="s">
        <v>30</v>
      </c>
      <c r="G29" t="s">
        <v>31</v>
      </c>
      <c r="H29" t="s">
        <v>24</v>
      </c>
      <c r="I29">
        <f>'1.Лок.смета.и.Акт'!E62</f>
        <v>6</v>
      </c>
      <c r="J29">
        <v>0</v>
      </c>
      <c r="O29">
        <f t="shared" si="14"/>
        <v>5989.59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5989.59</v>
      </c>
      <c r="T29">
        <f t="shared" si="19"/>
        <v>0</v>
      </c>
      <c r="U29">
        <f t="shared" si="20"/>
        <v>27</v>
      </c>
      <c r="V29">
        <f t="shared" si="21"/>
        <v>0</v>
      </c>
      <c r="W29">
        <f t="shared" si="22"/>
        <v>0</v>
      </c>
      <c r="X29">
        <f t="shared" si="23"/>
        <v>3893.23</v>
      </c>
      <c r="Y29">
        <f t="shared" si="24"/>
        <v>2395.84</v>
      </c>
      <c r="AA29">
        <v>34748540</v>
      </c>
      <c r="AB29">
        <f t="shared" si="25"/>
        <v>54.55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54.55</v>
      </c>
      <c r="AG29">
        <f t="shared" si="30"/>
        <v>0</v>
      </c>
      <c r="AH29">
        <f t="shared" si="31"/>
        <v>4.5</v>
      </c>
      <c r="AI29">
        <f t="shared" si="32"/>
        <v>0</v>
      </c>
      <c r="AJ29">
        <f t="shared" si="33"/>
        <v>0</v>
      </c>
      <c r="AK29">
        <f>AL29+AM29+AO29</f>
        <v>54.55</v>
      </c>
      <c r="AL29">
        <v>0</v>
      </c>
      <c r="AM29">
        <v>0</v>
      </c>
      <c r="AN29">
        <v>0</v>
      </c>
      <c r="AO29" s="106">
        <f>'1.Лок.смета.и.Акт'!F63</f>
        <v>54.55</v>
      </c>
      <c r="AP29">
        <v>0</v>
      </c>
      <c r="AQ29">
        <f>'1.Лок.смета.и.Акт'!E66</f>
        <v>4.5</v>
      </c>
      <c r="AR29">
        <v>0</v>
      </c>
      <c r="AS29">
        <v>0</v>
      </c>
      <c r="AT29">
        <v>65</v>
      </c>
      <c r="AU29">
        <v>40</v>
      </c>
      <c r="AV29">
        <v>1</v>
      </c>
      <c r="AW29">
        <v>1</v>
      </c>
      <c r="AZ29">
        <v>18.3</v>
      </c>
      <c r="BA29">
        <f>'1.Лок.смета.и.Акт'!J63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5989.59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998.26499999999999</v>
      </c>
      <c r="CU29">
        <f t="shared" si="39"/>
        <v>0</v>
      </c>
      <c r="CV29">
        <f t="shared" si="40"/>
        <v>4.5</v>
      </c>
      <c r="CW29">
        <f t="shared" si="41"/>
        <v>0</v>
      </c>
      <c r="CX29">
        <f t="shared" si="42"/>
        <v>0</v>
      </c>
      <c r="CY29">
        <f t="shared" si="43"/>
        <v>3893.2335000000003</v>
      </c>
      <c r="CZ29">
        <f t="shared" si="44"/>
        <v>2395.8360000000002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24</v>
      </c>
      <c r="DW29" t="str">
        <f>'1.Лок.смета.и.Акт'!D62</f>
        <v>ШТ</v>
      </c>
      <c r="DX29">
        <v>1</v>
      </c>
      <c r="EE29">
        <v>32653283</v>
      </c>
      <c r="EF29">
        <v>5</v>
      </c>
      <c r="EG29" t="s">
        <v>33</v>
      </c>
      <c r="EH29">
        <v>0</v>
      </c>
      <c r="EI29" t="s">
        <v>3</v>
      </c>
      <c r="EJ29">
        <v>4</v>
      </c>
      <c r="EK29">
        <v>200001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54.55</v>
      </c>
      <c r="ES29">
        <v>0</v>
      </c>
      <c r="ET29">
        <v>0</v>
      </c>
      <c r="EU29">
        <v>0</v>
      </c>
      <c r="EV29" s="106">
        <f>'1.Лок.смета.и.Акт'!F63</f>
        <v>54.55</v>
      </c>
      <c r="EW29">
        <f>'1.Лок.смета.и.Акт'!E66</f>
        <v>4.5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X29">
        <v>65</v>
      </c>
      <c r="FY29">
        <v>40</v>
      </c>
      <c r="GA29" t="s">
        <v>3</v>
      </c>
      <c r="GD29">
        <v>1</v>
      </c>
      <c r="GF29">
        <v>23551583</v>
      </c>
      <c r="GG29">
        <v>1</v>
      </c>
      <c r="GH29">
        <v>1</v>
      </c>
      <c r="GI29">
        <v>4</v>
      </c>
      <c r="GJ29">
        <v>0</v>
      </c>
      <c r="GK29">
        <v>0</v>
      </c>
      <c r="GL29">
        <f t="shared" si="46"/>
        <v>0</v>
      </c>
      <c r="GM29">
        <f t="shared" si="47"/>
        <v>12278.66</v>
      </c>
      <c r="GN29">
        <f t="shared" si="48"/>
        <v>0</v>
      </c>
      <c r="GO29">
        <f t="shared" si="49"/>
        <v>0</v>
      </c>
      <c r="GP29">
        <f t="shared" si="50"/>
        <v>12278.66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ROW(SmtRes!A35)</f>
        <v>35</v>
      </c>
      <c r="D30" s="2">
        <f>ROW(EtalonRes!A37)</f>
        <v>37</v>
      </c>
      <c r="E30" s="2" t="s">
        <v>36</v>
      </c>
      <c r="F30" s="2" t="s">
        <v>37</v>
      </c>
      <c r="G30" s="2" t="s">
        <v>38</v>
      </c>
      <c r="H30" s="2" t="s">
        <v>39</v>
      </c>
      <c r="I30" s="2">
        <f>'1.Лок.смета.и.Акт'!E68</f>
        <v>2</v>
      </c>
      <c r="J30" s="2">
        <v>0</v>
      </c>
      <c r="K30" s="2"/>
      <c r="L30" s="2"/>
      <c r="M30" s="2"/>
      <c r="N30" s="2"/>
      <c r="O30" s="2">
        <f t="shared" si="14"/>
        <v>1885.06</v>
      </c>
      <c r="P30" s="2">
        <f t="shared" si="15"/>
        <v>746.12</v>
      </c>
      <c r="Q30" s="2">
        <f t="shared" si="16"/>
        <v>765.68</v>
      </c>
      <c r="R30" s="2">
        <f t="shared" si="17"/>
        <v>91.42</v>
      </c>
      <c r="S30" s="2">
        <f t="shared" si="18"/>
        <v>373.26</v>
      </c>
      <c r="T30" s="2">
        <f t="shared" si="19"/>
        <v>0</v>
      </c>
      <c r="U30" s="2">
        <f t="shared" si="20"/>
        <v>38.799999999999997</v>
      </c>
      <c r="V30" s="2">
        <f t="shared" si="21"/>
        <v>6.84</v>
      </c>
      <c r="W30" s="2">
        <f t="shared" si="22"/>
        <v>0</v>
      </c>
      <c r="X30" s="2">
        <f t="shared" si="23"/>
        <v>441.45</v>
      </c>
      <c r="Y30" s="2">
        <f t="shared" si="24"/>
        <v>302.04000000000002</v>
      </c>
      <c r="Z30" s="2"/>
      <c r="AA30" s="2">
        <v>34748518</v>
      </c>
      <c r="AB30" s="2">
        <f t="shared" si="25"/>
        <v>942.53</v>
      </c>
      <c r="AC30" s="2">
        <f t="shared" si="26"/>
        <v>373.06</v>
      </c>
      <c r="AD30" s="2">
        <f t="shared" si="27"/>
        <v>382.84</v>
      </c>
      <c r="AE30" s="2">
        <f t="shared" si="28"/>
        <v>45.71</v>
      </c>
      <c r="AF30" s="2">
        <f t="shared" si="29"/>
        <v>186.63</v>
      </c>
      <c r="AG30" s="2">
        <f t="shared" si="30"/>
        <v>0</v>
      </c>
      <c r="AH30" s="2">
        <f t="shared" si="31"/>
        <v>19.399999999999999</v>
      </c>
      <c r="AI30" s="2">
        <f t="shared" si="32"/>
        <v>3.42</v>
      </c>
      <c r="AJ30" s="2">
        <f t="shared" si="33"/>
        <v>0</v>
      </c>
      <c r="AK30" s="2">
        <v>942.53</v>
      </c>
      <c r="AL30" s="2">
        <v>373.06</v>
      </c>
      <c r="AM30" s="2">
        <v>382.84</v>
      </c>
      <c r="AN30" s="2">
        <v>45.71</v>
      </c>
      <c r="AO30" s="2">
        <v>186.63</v>
      </c>
      <c r="AP30" s="2">
        <v>0</v>
      </c>
      <c r="AQ30" s="2">
        <v>19.399999999999999</v>
      </c>
      <c r="AR30" s="2">
        <v>3.42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40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1885.06</v>
      </c>
      <c r="CQ30" s="2">
        <f t="shared" si="35"/>
        <v>373.06</v>
      </c>
      <c r="CR30" s="2">
        <f t="shared" si="36"/>
        <v>382.84</v>
      </c>
      <c r="CS30" s="2">
        <f t="shared" si="37"/>
        <v>45.71</v>
      </c>
      <c r="CT30" s="2">
        <f t="shared" si="38"/>
        <v>186.63</v>
      </c>
      <c r="CU30" s="2">
        <f t="shared" si="39"/>
        <v>0</v>
      </c>
      <c r="CV30" s="2">
        <f t="shared" si="40"/>
        <v>19.399999999999999</v>
      </c>
      <c r="CW30" s="2">
        <f t="shared" si="41"/>
        <v>3.42</v>
      </c>
      <c r="CX30" s="2">
        <f t="shared" si="42"/>
        <v>0</v>
      </c>
      <c r="CY30" s="2">
        <f t="shared" si="43"/>
        <v>441.44599999999997</v>
      </c>
      <c r="CZ30" s="2">
        <f t="shared" si="44"/>
        <v>302.04200000000003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39</v>
      </c>
      <c r="DW30" s="2" t="s">
        <v>39</v>
      </c>
      <c r="DX30" s="2">
        <v>1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26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27</v>
      </c>
      <c r="EM30" s="2" t="s">
        <v>28</v>
      </c>
      <c r="EN30" s="2"/>
      <c r="EO30" s="2" t="s">
        <v>3</v>
      </c>
      <c r="EP30" s="2"/>
      <c r="EQ30" s="2">
        <v>0</v>
      </c>
      <c r="ER30" s="2">
        <v>942.53</v>
      </c>
      <c r="ES30" s="2">
        <v>373.06</v>
      </c>
      <c r="ET30" s="2">
        <v>382.84</v>
      </c>
      <c r="EU30" s="2">
        <v>45.71</v>
      </c>
      <c r="EV30" s="2">
        <v>186.63</v>
      </c>
      <c r="EW30" s="2">
        <v>19.399999999999999</v>
      </c>
      <c r="EX30" s="2">
        <v>3.42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1</v>
      </c>
      <c r="GE30" s="2"/>
      <c r="GF30" s="2">
        <v>-1251596764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6"/>
        <v>0</v>
      </c>
      <c r="GM30" s="2">
        <f t="shared" si="47"/>
        <v>2628.55</v>
      </c>
      <c r="GN30" s="2">
        <f t="shared" si="48"/>
        <v>0</v>
      </c>
      <c r="GO30" s="2">
        <f t="shared" si="49"/>
        <v>2628.55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>
        <f t="shared" si="53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ROW(SmtRes!A48)</f>
        <v>48</v>
      </c>
      <c r="D31">
        <f>ROW(EtalonRes!A50)</f>
        <v>50</v>
      </c>
      <c r="E31" t="s">
        <v>36</v>
      </c>
      <c r="F31" t="s">
        <v>37</v>
      </c>
      <c r="G31" t="s">
        <v>38</v>
      </c>
      <c r="H31" t="s">
        <v>39</v>
      </c>
      <c r="I31">
        <f>'1.Лок.смета.и.Акт'!E68</f>
        <v>2</v>
      </c>
      <c r="J31">
        <v>0</v>
      </c>
      <c r="O31">
        <f t="shared" si="14"/>
        <v>23563.25</v>
      </c>
      <c r="P31">
        <f t="shared" si="15"/>
        <v>9326.5</v>
      </c>
      <c r="Q31">
        <f t="shared" si="16"/>
        <v>9571</v>
      </c>
      <c r="R31">
        <f t="shared" si="17"/>
        <v>1142.75</v>
      </c>
      <c r="S31">
        <f t="shared" si="18"/>
        <v>4665.75</v>
      </c>
      <c r="T31">
        <f t="shared" si="19"/>
        <v>0</v>
      </c>
      <c r="U31">
        <f t="shared" si="20"/>
        <v>38.799999999999997</v>
      </c>
      <c r="V31">
        <f t="shared" si="21"/>
        <v>6.84</v>
      </c>
      <c r="W31">
        <f t="shared" si="22"/>
        <v>0</v>
      </c>
      <c r="X31">
        <f t="shared" si="23"/>
        <v>5518.08</v>
      </c>
      <c r="Y31">
        <f t="shared" si="24"/>
        <v>3775.53</v>
      </c>
      <c r="AA31">
        <v>34748540</v>
      </c>
      <c r="AB31">
        <f t="shared" si="25"/>
        <v>942.53</v>
      </c>
      <c r="AC31">
        <f t="shared" si="26"/>
        <v>373.06</v>
      </c>
      <c r="AD31">
        <f t="shared" si="27"/>
        <v>382.84</v>
      </c>
      <c r="AE31">
        <f t="shared" si="28"/>
        <v>45.71</v>
      </c>
      <c r="AF31">
        <f t="shared" si="29"/>
        <v>186.63</v>
      </c>
      <c r="AG31">
        <f t="shared" si="30"/>
        <v>0</v>
      </c>
      <c r="AH31">
        <f t="shared" si="31"/>
        <v>19.399999999999999</v>
      </c>
      <c r="AI31">
        <f t="shared" si="32"/>
        <v>3.42</v>
      </c>
      <c r="AJ31">
        <f t="shared" si="33"/>
        <v>0</v>
      </c>
      <c r="AK31">
        <f>AL31+AM31+AO31</f>
        <v>942.53</v>
      </c>
      <c r="AL31" s="106">
        <f>'1.Лок.смета.и.Акт'!F72</f>
        <v>373.06</v>
      </c>
      <c r="AM31" s="106">
        <f>'1.Лок.смета.и.Акт'!F70</f>
        <v>382.84</v>
      </c>
      <c r="AN31" s="106">
        <f>'1.Лок.смета.и.Акт'!F71</f>
        <v>45.71</v>
      </c>
      <c r="AO31" s="106">
        <f>'1.Лок.смета.и.Акт'!F69</f>
        <v>186.63</v>
      </c>
      <c r="AP31">
        <v>0</v>
      </c>
      <c r="AQ31">
        <f>'1.Лок.смета.и.Акт'!E75</f>
        <v>19.399999999999999</v>
      </c>
      <c r="AR31">
        <v>3.42</v>
      </c>
      <c r="AS31">
        <v>0</v>
      </c>
      <c r="AT31">
        <v>95</v>
      </c>
      <c r="AU31">
        <v>65</v>
      </c>
      <c r="AV31">
        <v>1</v>
      </c>
      <c r="AW31">
        <v>1</v>
      </c>
      <c r="AZ31">
        <v>12.5</v>
      </c>
      <c r="BA31">
        <f>'1.Лок.смета.и.Акт'!J69</f>
        <v>12.5</v>
      </c>
      <c r="BB31">
        <f>'1.Лок.смета.и.Акт'!J70</f>
        <v>12.5</v>
      </c>
      <c r="BC31">
        <f>'1.Лок.смета.и.Акт'!J72</f>
        <v>12.5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40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'1.Лок.смета.и.Акт'!J71</f>
        <v>12.5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23563.25</v>
      </c>
      <c r="CQ31">
        <f t="shared" si="35"/>
        <v>4663.25</v>
      </c>
      <c r="CR31">
        <f t="shared" si="36"/>
        <v>4785.5</v>
      </c>
      <c r="CS31">
        <f t="shared" si="37"/>
        <v>571.375</v>
      </c>
      <c r="CT31">
        <f t="shared" si="38"/>
        <v>2332.875</v>
      </c>
      <c r="CU31">
        <f t="shared" si="39"/>
        <v>0</v>
      </c>
      <c r="CV31">
        <f t="shared" si="40"/>
        <v>19.399999999999999</v>
      </c>
      <c r="CW31">
        <f t="shared" si="41"/>
        <v>3.42</v>
      </c>
      <c r="CX31">
        <f t="shared" si="42"/>
        <v>0</v>
      </c>
      <c r="CY31">
        <f t="shared" si="43"/>
        <v>5518.0749999999998</v>
      </c>
      <c r="CZ31">
        <f t="shared" si="44"/>
        <v>3775.5250000000001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39</v>
      </c>
      <c r="DW31" t="str">
        <f>'1.Лок.смета.и.Акт'!D68</f>
        <v>КОМПЛ</v>
      </c>
      <c r="DX31">
        <v>1</v>
      </c>
      <c r="EE31">
        <v>32653241</v>
      </c>
      <c r="EF31">
        <v>2</v>
      </c>
      <c r="EG31" t="s">
        <v>26</v>
      </c>
      <c r="EH31">
        <v>0</v>
      </c>
      <c r="EI31" t="s">
        <v>3</v>
      </c>
      <c r="EJ31">
        <v>2</v>
      </c>
      <c r="EK31">
        <v>108001</v>
      </c>
      <c r="EL31" t="s">
        <v>27</v>
      </c>
      <c r="EM31" t="s">
        <v>28</v>
      </c>
      <c r="EO31" t="s">
        <v>3</v>
      </c>
      <c r="EQ31">
        <v>0</v>
      </c>
      <c r="ER31">
        <f>ES31+ET31+EV31</f>
        <v>942.53</v>
      </c>
      <c r="ES31" s="106">
        <f>'1.Лок.смета.и.Акт'!F72</f>
        <v>373.06</v>
      </c>
      <c r="ET31" s="106">
        <f>'1.Лок.смета.и.Акт'!F70</f>
        <v>382.84</v>
      </c>
      <c r="EU31" s="106">
        <f>'1.Лок.смета.и.Акт'!F71</f>
        <v>45.71</v>
      </c>
      <c r="EV31" s="106">
        <f>'1.Лок.смета.и.Акт'!F69</f>
        <v>186.63</v>
      </c>
      <c r="EW31">
        <f>'1.Лок.смета.и.Акт'!E75</f>
        <v>19.399999999999999</v>
      </c>
      <c r="EX31">
        <v>3.42</v>
      </c>
      <c r="EY31">
        <v>0</v>
      </c>
      <c r="FQ31">
        <v>0</v>
      </c>
      <c r="FR31">
        <f t="shared" si="45"/>
        <v>0</v>
      </c>
      <c r="FS31">
        <v>0</v>
      </c>
      <c r="FX31">
        <v>95</v>
      </c>
      <c r="FY31">
        <v>65</v>
      </c>
      <c r="GA31" t="s">
        <v>3</v>
      </c>
      <c r="GD31">
        <v>1</v>
      </c>
      <c r="GF31">
        <v>-1251596764</v>
      </c>
      <c r="GG31">
        <v>1</v>
      </c>
      <c r="GH31">
        <v>1</v>
      </c>
      <c r="GI31">
        <v>4</v>
      </c>
      <c r="GJ31">
        <v>0</v>
      </c>
      <c r="GK31">
        <v>0</v>
      </c>
      <c r="GL31">
        <f t="shared" si="46"/>
        <v>0</v>
      </c>
      <c r="GM31">
        <f t="shared" si="47"/>
        <v>32856.86</v>
      </c>
      <c r="GN31">
        <f t="shared" si="48"/>
        <v>0</v>
      </c>
      <c r="GO31">
        <f t="shared" si="49"/>
        <v>32856.86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>
        <f>ROW(SmtRes!A50)</f>
        <v>50</v>
      </c>
      <c r="D32" s="2">
        <f>ROW(EtalonRes!A52)</f>
        <v>52</v>
      </c>
      <c r="E32" s="2" t="s">
        <v>41</v>
      </c>
      <c r="F32" s="2" t="s">
        <v>42</v>
      </c>
      <c r="G32" s="2" t="s">
        <v>43</v>
      </c>
      <c r="H32" s="2" t="s">
        <v>24</v>
      </c>
      <c r="I32" s="2">
        <f>'1.Лок.смета.и.Акт'!E77</f>
        <v>2</v>
      </c>
      <c r="J32" s="2">
        <v>0</v>
      </c>
      <c r="K32" s="2"/>
      <c r="L32" s="2"/>
      <c r="M32" s="2"/>
      <c r="N32" s="2"/>
      <c r="O32" s="2">
        <f t="shared" si="14"/>
        <v>349.12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349.12</v>
      </c>
      <c r="T32" s="2">
        <f t="shared" si="19"/>
        <v>0</v>
      </c>
      <c r="U32" s="2">
        <f t="shared" si="20"/>
        <v>28.8</v>
      </c>
      <c r="V32" s="2">
        <f t="shared" si="21"/>
        <v>0</v>
      </c>
      <c r="W32" s="2">
        <f t="shared" si="22"/>
        <v>0</v>
      </c>
      <c r="X32" s="2">
        <f t="shared" si="23"/>
        <v>226.93</v>
      </c>
      <c r="Y32" s="2">
        <f t="shared" si="24"/>
        <v>139.65</v>
      </c>
      <c r="Z32" s="2"/>
      <c r="AA32" s="2">
        <v>34748518</v>
      </c>
      <c r="AB32" s="2">
        <f t="shared" si="25"/>
        <v>174.56</v>
      </c>
      <c r="AC32" s="2">
        <f t="shared" si="26"/>
        <v>0</v>
      </c>
      <c r="AD32" s="2">
        <f t="shared" si="27"/>
        <v>0</v>
      </c>
      <c r="AE32" s="2">
        <f t="shared" si="28"/>
        <v>0</v>
      </c>
      <c r="AF32" s="2">
        <f t="shared" si="29"/>
        <v>174.56</v>
      </c>
      <c r="AG32" s="2">
        <f t="shared" si="30"/>
        <v>0</v>
      </c>
      <c r="AH32" s="2">
        <f t="shared" si="31"/>
        <v>14.4</v>
      </c>
      <c r="AI32" s="2">
        <f t="shared" si="32"/>
        <v>0</v>
      </c>
      <c r="AJ32" s="2">
        <f t="shared" si="33"/>
        <v>0</v>
      </c>
      <c r="AK32" s="2">
        <v>174.56</v>
      </c>
      <c r="AL32" s="2">
        <v>0</v>
      </c>
      <c r="AM32" s="2">
        <v>0</v>
      </c>
      <c r="AN32" s="2">
        <v>0</v>
      </c>
      <c r="AO32" s="2">
        <v>174.56</v>
      </c>
      <c r="AP32" s="2">
        <v>0</v>
      </c>
      <c r="AQ32" s="2">
        <v>14.4</v>
      </c>
      <c r="AR32" s="2">
        <v>0</v>
      </c>
      <c r="AS32" s="2">
        <v>0</v>
      </c>
      <c r="AT32" s="2">
        <v>65</v>
      </c>
      <c r="AU32" s="2">
        <v>40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4</v>
      </c>
      <c r="BJ32" s="2" t="s">
        <v>44</v>
      </c>
      <c r="BK32" s="2"/>
      <c r="BL32" s="2"/>
      <c r="BM32" s="2">
        <v>200001</v>
      </c>
      <c r="BN32" s="2">
        <v>0</v>
      </c>
      <c r="BO32" s="2" t="s">
        <v>3</v>
      </c>
      <c r="BP32" s="2">
        <v>0</v>
      </c>
      <c r="BQ32" s="2">
        <v>5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65</v>
      </c>
      <c r="CA32" s="2">
        <v>40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349.12</v>
      </c>
      <c r="CQ32" s="2">
        <f t="shared" si="35"/>
        <v>0</v>
      </c>
      <c r="CR32" s="2">
        <f t="shared" si="36"/>
        <v>0</v>
      </c>
      <c r="CS32" s="2">
        <f t="shared" si="37"/>
        <v>0</v>
      </c>
      <c r="CT32" s="2">
        <f t="shared" si="38"/>
        <v>174.56</v>
      </c>
      <c r="CU32" s="2">
        <f t="shared" si="39"/>
        <v>0</v>
      </c>
      <c r="CV32" s="2">
        <f t="shared" si="40"/>
        <v>14.4</v>
      </c>
      <c r="CW32" s="2">
        <f t="shared" si="41"/>
        <v>0</v>
      </c>
      <c r="CX32" s="2">
        <f t="shared" si="42"/>
        <v>0</v>
      </c>
      <c r="CY32" s="2">
        <f t="shared" si="43"/>
        <v>226.928</v>
      </c>
      <c r="CZ32" s="2">
        <f t="shared" si="44"/>
        <v>139.648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24</v>
      </c>
      <c r="DW32" s="2" t="s">
        <v>24</v>
      </c>
      <c r="DX32" s="2">
        <v>1</v>
      </c>
      <c r="DY32" s="2"/>
      <c r="DZ32" s="2"/>
      <c r="EA32" s="2"/>
      <c r="EB32" s="2"/>
      <c r="EC32" s="2"/>
      <c r="ED32" s="2"/>
      <c r="EE32" s="2">
        <v>32653283</v>
      </c>
      <c r="EF32" s="2">
        <v>5</v>
      </c>
      <c r="EG32" s="2" t="s">
        <v>33</v>
      </c>
      <c r="EH32" s="2">
        <v>0</v>
      </c>
      <c r="EI32" s="2" t="s">
        <v>3</v>
      </c>
      <c r="EJ32" s="2">
        <v>4</v>
      </c>
      <c r="EK32" s="2">
        <v>200001</v>
      </c>
      <c r="EL32" s="2" t="s">
        <v>34</v>
      </c>
      <c r="EM32" s="2" t="s">
        <v>35</v>
      </c>
      <c r="EN32" s="2"/>
      <c r="EO32" s="2" t="s">
        <v>3</v>
      </c>
      <c r="EP32" s="2"/>
      <c r="EQ32" s="2">
        <v>0</v>
      </c>
      <c r="ER32" s="2">
        <v>174.56</v>
      </c>
      <c r="ES32" s="2">
        <v>0</v>
      </c>
      <c r="ET32" s="2">
        <v>0</v>
      </c>
      <c r="EU32" s="2">
        <v>0</v>
      </c>
      <c r="EV32" s="2">
        <v>174.56</v>
      </c>
      <c r="EW32" s="2">
        <v>14.4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65</v>
      </c>
      <c r="FY32" s="2">
        <v>40</v>
      </c>
      <c r="FZ32" s="2"/>
      <c r="GA32" s="2" t="s">
        <v>3</v>
      </c>
      <c r="GB32" s="2"/>
      <c r="GC32" s="2"/>
      <c r="GD32" s="2">
        <v>1</v>
      </c>
      <c r="GE32" s="2"/>
      <c r="GF32" s="2">
        <v>-514302726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6"/>
        <v>0</v>
      </c>
      <c r="GM32" s="2">
        <f t="shared" si="47"/>
        <v>715.7</v>
      </c>
      <c r="GN32" s="2">
        <f t="shared" si="48"/>
        <v>0</v>
      </c>
      <c r="GO32" s="2">
        <f t="shared" si="49"/>
        <v>0</v>
      </c>
      <c r="GP32" s="2">
        <f t="shared" si="50"/>
        <v>715.7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>
        <f t="shared" si="53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ROW(SmtRes!A52)</f>
        <v>52</v>
      </c>
      <c r="D33">
        <f>ROW(EtalonRes!A54)</f>
        <v>54</v>
      </c>
      <c r="E33" t="s">
        <v>41</v>
      </c>
      <c r="F33" t="s">
        <v>42</v>
      </c>
      <c r="G33" t="s">
        <v>43</v>
      </c>
      <c r="H33" t="s">
        <v>24</v>
      </c>
      <c r="I33">
        <f>'1.Лок.смета.и.Акт'!E77</f>
        <v>2</v>
      </c>
      <c r="J33">
        <v>0</v>
      </c>
      <c r="O33">
        <f t="shared" si="14"/>
        <v>6388.9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6388.9</v>
      </c>
      <c r="T33">
        <f t="shared" si="19"/>
        <v>0</v>
      </c>
      <c r="U33">
        <f t="shared" si="20"/>
        <v>28.8</v>
      </c>
      <c r="V33">
        <f t="shared" si="21"/>
        <v>0</v>
      </c>
      <c r="W33">
        <f t="shared" si="22"/>
        <v>0</v>
      </c>
      <c r="X33">
        <f t="shared" si="23"/>
        <v>4152.79</v>
      </c>
      <c r="Y33">
        <f t="shared" si="24"/>
        <v>2555.56</v>
      </c>
      <c r="AA33">
        <v>34748540</v>
      </c>
      <c r="AB33">
        <f t="shared" si="25"/>
        <v>174.56</v>
      </c>
      <c r="AC33">
        <f t="shared" si="26"/>
        <v>0</v>
      </c>
      <c r="AD33">
        <f t="shared" si="27"/>
        <v>0</v>
      </c>
      <c r="AE33">
        <f t="shared" si="28"/>
        <v>0</v>
      </c>
      <c r="AF33">
        <f t="shared" si="29"/>
        <v>174.56</v>
      </c>
      <c r="AG33">
        <f t="shared" si="30"/>
        <v>0</v>
      </c>
      <c r="AH33">
        <f t="shared" si="31"/>
        <v>14.4</v>
      </c>
      <c r="AI33">
        <f t="shared" si="32"/>
        <v>0</v>
      </c>
      <c r="AJ33">
        <f t="shared" si="33"/>
        <v>0</v>
      </c>
      <c r="AK33">
        <f>AL33+AM33+AO33</f>
        <v>174.56</v>
      </c>
      <c r="AL33">
        <v>0</v>
      </c>
      <c r="AM33">
        <v>0</v>
      </c>
      <c r="AN33">
        <v>0</v>
      </c>
      <c r="AO33" s="106">
        <f>'1.Лок.смета.и.Акт'!F78</f>
        <v>174.56</v>
      </c>
      <c r="AP33">
        <v>0</v>
      </c>
      <c r="AQ33">
        <f>'1.Лок.смета.и.Акт'!E81</f>
        <v>14.4</v>
      </c>
      <c r="AR33">
        <v>0</v>
      </c>
      <c r="AS33">
        <v>0</v>
      </c>
      <c r="AT33">
        <v>65</v>
      </c>
      <c r="AU33">
        <v>40</v>
      </c>
      <c r="AV33">
        <v>1</v>
      </c>
      <c r="AW33">
        <v>1</v>
      </c>
      <c r="AZ33">
        <v>18.3</v>
      </c>
      <c r="BA33">
        <f>'1.Лок.смета.и.Акт'!J78</f>
        <v>18.3</v>
      </c>
      <c r="BB33">
        <v>18.3</v>
      </c>
      <c r="BC33">
        <v>18.3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44</v>
      </c>
      <c r="BM33">
        <v>200001</v>
      </c>
      <c r="BN33">
        <v>0</v>
      </c>
      <c r="BO33" t="s">
        <v>3</v>
      </c>
      <c r="BP33">
        <v>0</v>
      </c>
      <c r="BQ33">
        <v>5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65</v>
      </c>
      <c r="CA33">
        <v>40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6388.9</v>
      </c>
      <c r="CQ33">
        <f t="shared" si="35"/>
        <v>0</v>
      </c>
      <c r="CR33">
        <f t="shared" si="36"/>
        <v>0</v>
      </c>
      <c r="CS33">
        <f t="shared" si="37"/>
        <v>0</v>
      </c>
      <c r="CT33">
        <f t="shared" si="38"/>
        <v>3194.4480000000003</v>
      </c>
      <c r="CU33">
        <f t="shared" si="39"/>
        <v>0</v>
      </c>
      <c r="CV33">
        <f t="shared" si="40"/>
        <v>14.4</v>
      </c>
      <c r="CW33">
        <f t="shared" si="41"/>
        <v>0</v>
      </c>
      <c r="CX33">
        <f t="shared" si="42"/>
        <v>0</v>
      </c>
      <c r="CY33">
        <f t="shared" si="43"/>
        <v>4152.7849999999999</v>
      </c>
      <c r="CZ33">
        <f t="shared" si="44"/>
        <v>2555.56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24</v>
      </c>
      <c r="DW33" t="str">
        <f>'1.Лок.смета.и.Акт'!D77</f>
        <v>ШТ</v>
      </c>
      <c r="DX33">
        <v>1</v>
      </c>
      <c r="EE33">
        <v>32653283</v>
      </c>
      <c r="EF33">
        <v>5</v>
      </c>
      <c r="EG33" t="s">
        <v>33</v>
      </c>
      <c r="EH33">
        <v>0</v>
      </c>
      <c r="EI33" t="s">
        <v>3</v>
      </c>
      <c r="EJ33">
        <v>4</v>
      </c>
      <c r="EK33">
        <v>200001</v>
      </c>
      <c r="EL33" t="s">
        <v>34</v>
      </c>
      <c r="EM33" t="s">
        <v>35</v>
      </c>
      <c r="EO33" t="s">
        <v>3</v>
      </c>
      <c r="EQ33">
        <v>0</v>
      </c>
      <c r="ER33">
        <f>ES33+ET33+EV33</f>
        <v>174.56</v>
      </c>
      <c r="ES33">
        <v>0</v>
      </c>
      <c r="ET33">
        <v>0</v>
      </c>
      <c r="EU33">
        <v>0</v>
      </c>
      <c r="EV33" s="106">
        <f>'1.Лок.смета.и.Акт'!F78</f>
        <v>174.56</v>
      </c>
      <c r="EW33">
        <f>'1.Лок.смета.и.Акт'!E81</f>
        <v>14.4</v>
      </c>
      <c r="EX33">
        <v>0</v>
      </c>
      <c r="EY33">
        <v>0</v>
      </c>
      <c r="FQ33">
        <v>0</v>
      </c>
      <c r="FR33">
        <f t="shared" si="45"/>
        <v>0</v>
      </c>
      <c r="FS33">
        <v>0</v>
      </c>
      <c r="FX33">
        <v>65</v>
      </c>
      <c r="FY33">
        <v>40</v>
      </c>
      <c r="GA33" t="s">
        <v>3</v>
      </c>
      <c r="GD33">
        <v>1</v>
      </c>
      <c r="GF33">
        <v>-514302726</v>
      </c>
      <c r="GG33">
        <v>1</v>
      </c>
      <c r="GH33">
        <v>1</v>
      </c>
      <c r="GI33">
        <v>4</v>
      </c>
      <c r="GJ33">
        <v>0</v>
      </c>
      <c r="GK33">
        <v>0</v>
      </c>
      <c r="GL33">
        <f t="shared" si="46"/>
        <v>0</v>
      </c>
      <c r="GM33">
        <f t="shared" si="47"/>
        <v>13097.25</v>
      </c>
      <c r="GN33">
        <f t="shared" si="48"/>
        <v>0</v>
      </c>
      <c r="GO33">
        <f t="shared" si="49"/>
        <v>0</v>
      </c>
      <c r="GP33">
        <f t="shared" si="50"/>
        <v>13097.25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ROW(SmtRes!A58)</f>
        <v>58</v>
      </c>
      <c r="D34" s="2">
        <f>ROW(EtalonRes!A60)</f>
        <v>60</v>
      </c>
      <c r="E34" s="2" t="s">
        <v>45</v>
      </c>
      <c r="F34" s="2" t="s">
        <v>46</v>
      </c>
      <c r="G34" s="2" t="s">
        <v>47</v>
      </c>
      <c r="H34" s="2" t="s">
        <v>24</v>
      </c>
      <c r="I34" s="2">
        <f>'1.Лок.смета.и.Акт'!E83</f>
        <v>2</v>
      </c>
      <c r="J34" s="2">
        <v>0</v>
      </c>
      <c r="K34" s="2"/>
      <c r="L34" s="2"/>
      <c r="M34" s="2"/>
      <c r="N34" s="2"/>
      <c r="O34" s="2">
        <f t="shared" si="14"/>
        <v>18.46</v>
      </c>
      <c r="P34" s="2">
        <f t="shared" si="15"/>
        <v>1.02</v>
      </c>
      <c r="Q34" s="2">
        <f t="shared" si="16"/>
        <v>3.56</v>
      </c>
      <c r="R34" s="2">
        <f t="shared" si="17"/>
        <v>0.52</v>
      </c>
      <c r="S34" s="2">
        <f t="shared" si="18"/>
        <v>13.88</v>
      </c>
      <c r="T34" s="2">
        <f t="shared" si="19"/>
        <v>0</v>
      </c>
      <c r="U34" s="2">
        <f t="shared" si="20"/>
        <v>1.4</v>
      </c>
      <c r="V34" s="2">
        <f t="shared" si="21"/>
        <v>0.04</v>
      </c>
      <c r="W34" s="2">
        <f t="shared" si="22"/>
        <v>0</v>
      </c>
      <c r="X34" s="2">
        <f t="shared" si="23"/>
        <v>13.68</v>
      </c>
      <c r="Y34" s="2">
        <f t="shared" si="24"/>
        <v>9.36</v>
      </c>
      <c r="Z34" s="2"/>
      <c r="AA34" s="2">
        <v>34748518</v>
      </c>
      <c r="AB34" s="2">
        <f t="shared" si="25"/>
        <v>9.23</v>
      </c>
      <c r="AC34" s="2">
        <f t="shared" si="26"/>
        <v>0.51</v>
      </c>
      <c r="AD34" s="2">
        <f t="shared" si="27"/>
        <v>1.78</v>
      </c>
      <c r="AE34" s="2">
        <f t="shared" si="28"/>
        <v>0.26</v>
      </c>
      <c r="AF34" s="2">
        <f t="shared" si="29"/>
        <v>6.94</v>
      </c>
      <c r="AG34" s="2">
        <f t="shared" si="30"/>
        <v>0</v>
      </c>
      <c r="AH34" s="2">
        <f t="shared" si="31"/>
        <v>0.7</v>
      </c>
      <c r="AI34" s="2">
        <f t="shared" si="32"/>
        <v>0.02</v>
      </c>
      <c r="AJ34" s="2">
        <f t="shared" si="33"/>
        <v>0</v>
      </c>
      <c r="AK34" s="2">
        <v>9.23</v>
      </c>
      <c r="AL34" s="2">
        <v>0.51</v>
      </c>
      <c r="AM34" s="2">
        <v>1.78</v>
      </c>
      <c r="AN34" s="2">
        <v>0.26</v>
      </c>
      <c r="AO34" s="2">
        <v>6.94</v>
      </c>
      <c r="AP34" s="2">
        <v>0</v>
      </c>
      <c r="AQ34" s="2">
        <v>0.7</v>
      </c>
      <c r="AR34" s="2">
        <v>0.02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48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18.46</v>
      </c>
      <c r="CQ34" s="2">
        <f t="shared" si="35"/>
        <v>0.51</v>
      </c>
      <c r="CR34" s="2">
        <f t="shared" si="36"/>
        <v>1.78</v>
      </c>
      <c r="CS34" s="2">
        <f t="shared" si="37"/>
        <v>0.26</v>
      </c>
      <c r="CT34" s="2">
        <f t="shared" si="38"/>
        <v>6.94</v>
      </c>
      <c r="CU34" s="2">
        <f t="shared" si="39"/>
        <v>0</v>
      </c>
      <c r="CV34" s="2">
        <f t="shared" si="40"/>
        <v>0.7</v>
      </c>
      <c r="CW34" s="2">
        <f t="shared" si="41"/>
        <v>0.02</v>
      </c>
      <c r="CX34" s="2">
        <f t="shared" si="42"/>
        <v>0</v>
      </c>
      <c r="CY34" s="2">
        <f t="shared" si="43"/>
        <v>13.68</v>
      </c>
      <c r="CZ34" s="2">
        <f t="shared" si="44"/>
        <v>9.36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24</v>
      </c>
      <c r="DW34" s="2" t="s">
        <v>24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26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27</v>
      </c>
      <c r="EM34" s="2" t="s">
        <v>28</v>
      </c>
      <c r="EN34" s="2"/>
      <c r="EO34" s="2" t="s">
        <v>3</v>
      </c>
      <c r="EP34" s="2"/>
      <c r="EQ34" s="2">
        <v>0</v>
      </c>
      <c r="ER34" s="2">
        <v>9.23</v>
      </c>
      <c r="ES34" s="2">
        <v>0.51</v>
      </c>
      <c r="ET34" s="2">
        <v>1.78</v>
      </c>
      <c r="EU34" s="2">
        <v>0.26</v>
      </c>
      <c r="EV34" s="2">
        <v>6.94</v>
      </c>
      <c r="EW34" s="2">
        <v>0.7</v>
      </c>
      <c r="EX34" s="2">
        <v>0.02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1</v>
      </c>
      <c r="GE34" s="2"/>
      <c r="GF34" s="2">
        <v>1792243936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6"/>
        <v>0</v>
      </c>
      <c r="GM34" s="2">
        <f t="shared" si="47"/>
        <v>41.5</v>
      </c>
      <c r="GN34" s="2">
        <f t="shared" si="48"/>
        <v>0</v>
      </c>
      <c r="GO34" s="2">
        <f t="shared" si="49"/>
        <v>41.5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>
        <f t="shared" si="53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ROW(SmtRes!A64)</f>
        <v>64</v>
      </c>
      <c r="D35">
        <f>ROW(EtalonRes!A66)</f>
        <v>66</v>
      </c>
      <c r="E35" t="s">
        <v>45</v>
      </c>
      <c r="F35" t="s">
        <v>46</v>
      </c>
      <c r="G35" t="s">
        <v>47</v>
      </c>
      <c r="H35" t="s">
        <v>24</v>
      </c>
      <c r="I35">
        <f>'1.Лок.смета.и.Акт'!E83</f>
        <v>2</v>
      </c>
      <c r="J35">
        <v>0</v>
      </c>
      <c r="O35">
        <f t="shared" si="14"/>
        <v>230.75</v>
      </c>
      <c r="P35">
        <f t="shared" si="15"/>
        <v>12.75</v>
      </c>
      <c r="Q35">
        <f t="shared" si="16"/>
        <v>44.5</v>
      </c>
      <c r="R35">
        <f t="shared" si="17"/>
        <v>6.5</v>
      </c>
      <c r="S35">
        <f t="shared" si="18"/>
        <v>173.5</v>
      </c>
      <c r="T35">
        <f t="shared" si="19"/>
        <v>0</v>
      </c>
      <c r="U35">
        <f t="shared" si="20"/>
        <v>1.4</v>
      </c>
      <c r="V35">
        <f t="shared" si="21"/>
        <v>0.04</v>
      </c>
      <c r="W35">
        <f t="shared" si="22"/>
        <v>0</v>
      </c>
      <c r="X35">
        <f t="shared" si="23"/>
        <v>171</v>
      </c>
      <c r="Y35">
        <f t="shared" si="24"/>
        <v>117</v>
      </c>
      <c r="AA35">
        <v>34748540</v>
      </c>
      <c r="AB35">
        <f t="shared" si="25"/>
        <v>9.23</v>
      </c>
      <c r="AC35">
        <f t="shared" si="26"/>
        <v>0.51</v>
      </c>
      <c r="AD35">
        <f t="shared" si="27"/>
        <v>1.78</v>
      </c>
      <c r="AE35">
        <f t="shared" si="28"/>
        <v>0.26</v>
      </c>
      <c r="AF35">
        <f t="shared" si="29"/>
        <v>6.94</v>
      </c>
      <c r="AG35">
        <f t="shared" si="30"/>
        <v>0</v>
      </c>
      <c r="AH35">
        <f t="shared" si="31"/>
        <v>0.7</v>
      </c>
      <c r="AI35">
        <f t="shared" si="32"/>
        <v>0.02</v>
      </c>
      <c r="AJ35">
        <f t="shared" si="33"/>
        <v>0</v>
      </c>
      <c r="AK35">
        <f>AL35+AM35+AO35</f>
        <v>9.23</v>
      </c>
      <c r="AL35" s="106">
        <f>'1.Лок.смета.и.Акт'!F87</f>
        <v>0.51</v>
      </c>
      <c r="AM35" s="106">
        <f>'1.Лок.смета.и.Акт'!F85</f>
        <v>1.78</v>
      </c>
      <c r="AN35" s="106">
        <f>'1.Лок.смета.и.Акт'!F86</f>
        <v>0.26</v>
      </c>
      <c r="AO35" s="106">
        <f>'1.Лок.смета.и.Акт'!F84</f>
        <v>6.94</v>
      </c>
      <c r="AP35">
        <v>0</v>
      </c>
      <c r="AQ35">
        <f>'1.Лок.смета.и.Акт'!E90</f>
        <v>0.7</v>
      </c>
      <c r="AR35">
        <v>0.02</v>
      </c>
      <c r="AS35">
        <v>0</v>
      </c>
      <c r="AT35">
        <v>95</v>
      </c>
      <c r="AU35">
        <v>65</v>
      </c>
      <c r="AV35">
        <v>1</v>
      </c>
      <c r="AW35">
        <v>1</v>
      </c>
      <c r="AZ35">
        <v>12.5</v>
      </c>
      <c r="BA35">
        <f>'1.Лок.смета.и.Акт'!J84</f>
        <v>12.5</v>
      </c>
      <c r="BB35">
        <f>'1.Лок.смета.и.Акт'!J85</f>
        <v>12.5</v>
      </c>
      <c r="BC35">
        <f>'1.Лок.смета.и.Акт'!J87</f>
        <v>12.5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48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'1.Лок.смета.и.Акт'!J86</f>
        <v>12.5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230.75</v>
      </c>
      <c r="CQ35">
        <f t="shared" si="35"/>
        <v>6.375</v>
      </c>
      <c r="CR35">
        <f t="shared" si="36"/>
        <v>22.25</v>
      </c>
      <c r="CS35">
        <f t="shared" si="37"/>
        <v>3.25</v>
      </c>
      <c r="CT35">
        <f t="shared" si="38"/>
        <v>86.75</v>
      </c>
      <c r="CU35">
        <f t="shared" si="39"/>
        <v>0</v>
      </c>
      <c r="CV35">
        <f t="shared" si="40"/>
        <v>0.7</v>
      </c>
      <c r="CW35">
        <f t="shared" si="41"/>
        <v>0.02</v>
      </c>
      <c r="CX35">
        <f t="shared" si="42"/>
        <v>0</v>
      </c>
      <c r="CY35">
        <f t="shared" si="43"/>
        <v>171</v>
      </c>
      <c r="CZ35">
        <f t="shared" si="44"/>
        <v>117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24</v>
      </c>
      <c r="DW35" t="str">
        <f>'1.Лок.смета.и.Акт'!D83</f>
        <v>ШТ</v>
      </c>
      <c r="DX35">
        <v>1</v>
      </c>
      <c r="EE35">
        <v>32653241</v>
      </c>
      <c r="EF35">
        <v>2</v>
      </c>
      <c r="EG35" t="s">
        <v>26</v>
      </c>
      <c r="EH35">
        <v>0</v>
      </c>
      <c r="EI35" t="s">
        <v>3</v>
      </c>
      <c r="EJ35">
        <v>2</v>
      </c>
      <c r="EK35">
        <v>108001</v>
      </c>
      <c r="EL35" t="s">
        <v>27</v>
      </c>
      <c r="EM35" t="s">
        <v>28</v>
      </c>
      <c r="EO35" t="s">
        <v>3</v>
      </c>
      <c r="EQ35">
        <v>0</v>
      </c>
      <c r="ER35">
        <f>ES35+ET35+EV35</f>
        <v>9.23</v>
      </c>
      <c r="ES35" s="106">
        <f>'1.Лок.смета.и.Акт'!F87</f>
        <v>0.51</v>
      </c>
      <c r="ET35" s="106">
        <f>'1.Лок.смета.и.Акт'!F85</f>
        <v>1.78</v>
      </c>
      <c r="EU35" s="106">
        <f>'1.Лок.смета.и.Акт'!F86</f>
        <v>0.26</v>
      </c>
      <c r="EV35" s="106">
        <f>'1.Лок.смета.и.Акт'!F84</f>
        <v>6.94</v>
      </c>
      <c r="EW35">
        <f>'1.Лок.смета.и.Акт'!E90</f>
        <v>0.7</v>
      </c>
      <c r="EX35">
        <v>0.02</v>
      </c>
      <c r="EY35">
        <v>0</v>
      </c>
      <c r="FQ35">
        <v>0</v>
      </c>
      <c r="FR35">
        <f t="shared" si="45"/>
        <v>0</v>
      </c>
      <c r="FS35">
        <v>0</v>
      </c>
      <c r="FX35">
        <v>95</v>
      </c>
      <c r="FY35">
        <v>65</v>
      </c>
      <c r="GA35" t="s">
        <v>3</v>
      </c>
      <c r="GD35">
        <v>1</v>
      </c>
      <c r="GF35">
        <v>1792243936</v>
      </c>
      <c r="GG35">
        <v>1</v>
      </c>
      <c r="GH35">
        <v>1</v>
      </c>
      <c r="GI35">
        <v>4</v>
      </c>
      <c r="GJ35">
        <v>0</v>
      </c>
      <c r="GK35">
        <v>0</v>
      </c>
      <c r="GL35">
        <f t="shared" si="46"/>
        <v>0</v>
      </c>
      <c r="GM35">
        <f t="shared" si="47"/>
        <v>518.75</v>
      </c>
      <c r="GN35">
        <f t="shared" si="48"/>
        <v>0</v>
      </c>
      <c r="GO35">
        <f t="shared" si="49"/>
        <v>518.75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ROW(SmtRes!A68)</f>
        <v>68</v>
      </c>
      <c r="D36" s="2">
        <f>ROW(EtalonRes!A70)</f>
        <v>70</v>
      </c>
      <c r="E36" s="2" t="s">
        <v>49</v>
      </c>
      <c r="F36" s="2" t="s">
        <v>50</v>
      </c>
      <c r="G36" s="2" t="s">
        <v>51</v>
      </c>
      <c r="H36" s="2" t="s">
        <v>52</v>
      </c>
      <c r="I36" s="2">
        <f>'1.Лок.смета.и.Акт'!E92</f>
        <v>0.08</v>
      </c>
      <c r="J36" s="2">
        <v>0</v>
      </c>
      <c r="K36" s="2"/>
      <c r="L36" s="2"/>
      <c r="M36" s="2"/>
      <c r="N36" s="2"/>
      <c r="O36" s="2">
        <f t="shared" si="14"/>
        <v>9.3699999999999992</v>
      </c>
      <c r="P36" s="2">
        <f t="shared" si="15"/>
        <v>1.1499999999999999</v>
      </c>
      <c r="Q36" s="2">
        <f t="shared" si="16"/>
        <v>0</v>
      </c>
      <c r="R36" s="2">
        <f t="shared" si="17"/>
        <v>0</v>
      </c>
      <c r="S36" s="2">
        <f t="shared" si="18"/>
        <v>8.2200000000000006</v>
      </c>
      <c r="T36" s="2">
        <f t="shared" si="19"/>
        <v>0</v>
      </c>
      <c r="U36" s="2">
        <f t="shared" si="20"/>
        <v>0.74159999999999993</v>
      </c>
      <c r="V36" s="2">
        <f t="shared" si="21"/>
        <v>0</v>
      </c>
      <c r="W36" s="2">
        <f t="shared" si="22"/>
        <v>0</v>
      </c>
      <c r="X36" s="2">
        <f t="shared" si="23"/>
        <v>6.58</v>
      </c>
      <c r="Y36" s="2">
        <f t="shared" si="24"/>
        <v>4.93</v>
      </c>
      <c r="Z36" s="2"/>
      <c r="AA36" s="2">
        <v>34748518</v>
      </c>
      <c r="AB36" s="2">
        <f t="shared" si="25"/>
        <v>117.17</v>
      </c>
      <c r="AC36" s="2">
        <f t="shared" si="26"/>
        <v>14.37</v>
      </c>
      <c r="AD36" s="2">
        <f t="shared" si="27"/>
        <v>0</v>
      </c>
      <c r="AE36" s="2">
        <f t="shared" si="28"/>
        <v>0</v>
      </c>
      <c r="AF36" s="2">
        <f t="shared" si="29"/>
        <v>102.8</v>
      </c>
      <c r="AG36" s="2">
        <f t="shared" si="30"/>
        <v>0</v>
      </c>
      <c r="AH36" s="2">
        <f t="shared" si="31"/>
        <v>9.27</v>
      </c>
      <c r="AI36" s="2">
        <f t="shared" si="32"/>
        <v>0</v>
      </c>
      <c r="AJ36" s="2">
        <f t="shared" si="33"/>
        <v>0</v>
      </c>
      <c r="AK36" s="2">
        <v>117.17</v>
      </c>
      <c r="AL36" s="2">
        <v>14.37</v>
      </c>
      <c r="AM36" s="2">
        <v>0</v>
      </c>
      <c r="AN36" s="2">
        <v>0</v>
      </c>
      <c r="AO36" s="2">
        <v>102.8</v>
      </c>
      <c r="AP36" s="2">
        <v>0</v>
      </c>
      <c r="AQ36" s="2">
        <v>9.27</v>
      </c>
      <c r="AR36" s="2">
        <v>0</v>
      </c>
      <c r="AS36" s="2">
        <v>0</v>
      </c>
      <c r="AT36" s="2">
        <v>80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53</v>
      </c>
      <c r="BK36" s="2"/>
      <c r="BL36" s="2"/>
      <c r="BM36" s="2">
        <v>111003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80</v>
      </c>
      <c r="CA36" s="2">
        <v>60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9.370000000000001</v>
      </c>
      <c r="CQ36" s="2">
        <f t="shared" si="35"/>
        <v>14.37</v>
      </c>
      <c r="CR36" s="2">
        <f t="shared" si="36"/>
        <v>0</v>
      </c>
      <c r="CS36" s="2">
        <f t="shared" si="37"/>
        <v>0</v>
      </c>
      <c r="CT36" s="2">
        <f t="shared" si="38"/>
        <v>102.8</v>
      </c>
      <c r="CU36" s="2">
        <f t="shared" si="39"/>
        <v>0</v>
      </c>
      <c r="CV36" s="2">
        <f t="shared" si="40"/>
        <v>9.27</v>
      </c>
      <c r="CW36" s="2">
        <f t="shared" si="41"/>
        <v>0</v>
      </c>
      <c r="CX36" s="2">
        <f t="shared" si="42"/>
        <v>0</v>
      </c>
      <c r="CY36" s="2">
        <f t="shared" si="43"/>
        <v>6.5760000000000005</v>
      </c>
      <c r="CZ36" s="2">
        <f t="shared" si="44"/>
        <v>4.9320000000000004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52</v>
      </c>
      <c r="DW36" s="2" t="s">
        <v>52</v>
      </c>
      <c r="DX36" s="2">
        <v>100</v>
      </c>
      <c r="DY36" s="2"/>
      <c r="DZ36" s="2"/>
      <c r="EA36" s="2"/>
      <c r="EB36" s="2"/>
      <c r="EC36" s="2"/>
      <c r="ED36" s="2"/>
      <c r="EE36" s="2">
        <v>32653249</v>
      </c>
      <c r="EF36" s="2">
        <v>2</v>
      </c>
      <c r="EG36" s="2" t="s">
        <v>26</v>
      </c>
      <c r="EH36" s="2">
        <v>0</v>
      </c>
      <c r="EI36" s="2" t="s">
        <v>3</v>
      </c>
      <c r="EJ36" s="2">
        <v>2</v>
      </c>
      <c r="EK36" s="2">
        <v>111003</v>
      </c>
      <c r="EL36" s="2" t="s">
        <v>54</v>
      </c>
      <c r="EM36" s="2" t="s">
        <v>55</v>
      </c>
      <c r="EN36" s="2"/>
      <c r="EO36" s="2" t="s">
        <v>3</v>
      </c>
      <c r="EP36" s="2"/>
      <c r="EQ36" s="2">
        <v>0</v>
      </c>
      <c r="ER36" s="2">
        <v>117.17</v>
      </c>
      <c r="ES36" s="2">
        <v>14.37</v>
      </c>
      <c r="ET36" s="2">
        <v>0</v>
      </c>
      <c r="EU36" s="2">
        <v>0</v>
      </c>
      <c r="EV36" s="2">
        <v>102.8</v>
      </c>
      <c r="EW36" s="2">
        <v>9.27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80</v>
      </c>
      <c r="FY36" s="2">
        <v>60</v>
      </c>
      <c r="FZ36" s="2"/>
      <c r="GA36" s="2" t="s">
        <v>3</v>
      </c>
      <c r="GB36" s="2"/>
      <c r="GC36" s="2"/>
      <c r="GD36" s="2">
        <v>1</v>
      </c>
      <c r="GE36" s="2"/>
      <c r="GF36" s="2">
        <v>330457198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6"/>
        <v>0</v>
      </c>
      <c r="GM36" s="2">
        <f t="shared" si="47"/>
        <v>20.88</v>
      </c>
      <c r="GN36" s="2">
        <f t="shared" si="48"/>
        <v>0</v>
      </c>
      <c r="GO36" s="2">
        <f t="shared" si="49"/>
        <v>20.88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>
        <f t="shared" si="53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ROW(SmtRes!A72)</f>
        <v>72</v>
      </c>
      <c r="D37">
        <f>ROW(EtalonRes!A74)</f>
        <v>74</v>
      </c>
      <c r="E37" t="s">
        <v>49</v>
      </c>
      <c r="F37" t="s">
        <v>50</v>
      </c>
      <c r="G37" t="s">
        <v>51</v>
      </c>
      <c r="H37" t="s">
        <v>52</v>
      </c>
      <c r="I37">
        <f>'1.Лок.смета.и.Акт'!E92</f>
        <v>0.08</v>
      </c>
      <c r="J37">
        <v>0</v>
      </c>
      <c r="O37">
        <f t="shared" si="14"/>
        <v>117.17</v>
      </c>
      <c r="P37">
        <f t="shared" si="15"/>
        <v>14.37</v>
      </c>
      <c r="Q37">
        <f t="shared" si="16"/>
        <v>0</v>
      </c>
      <c r="R37">
        <f t="shared" si="17"/>
        <v>0</v>
      </c>
      <c r="S37">
        <f t="shared" si="18"/>
        <v>102.8</v>
      </c>
      <c r="T37">
        <f t="shared" si="19"/>
        <v>0</v>
      </c>
      <c r="U37">
        <f t="shared" si="20"/>
        <v>0.74159999999999993</v>
      </c>
      <c r="V37">
        <f t="shared" si="21"/>
        <v>0</v>
      </c>
      <c r="W37">
        <f t="shared" si="22"/>
        <v>0</v>
      </c>
      <c r="X37">
        <f t="shared" si="23"/>
        <v>82.24</v>
      </c>
      <c r="Y37">
        <f t="shared" si="24"/>
        <v>61.68</v>
      </c>
      <c r="AA37">
        <v>34748540</v>
      </c>
      <c r="AB37">
        <f t="shared" si="25"/>
        <v>117.17</v>
      </c>
      <c r="AC37">
        <f t="shared" si="26"/>
        <v>14.37</v>
      </c>
      <c r="AD37">
        <f t="shared" si="27"/>
        <v>0</v>
      </c>
      <c r="AE37">
        <f t="shared" si="28"/>
        <v>0</v>
      </c>
      <c r="AF37">
        <f t="shared" si="29"/>
        <v>102.8</v>
      </c>
      <c r="AG37">
        <f t="shared" si="30"/>
        <v>0</v>
      </c>
      <c r="AH37">
        <f t="shared" si="31"/>
        <v>9.27</v>
      </c>
      <c r="AI37">
        <f t="shared" si="32"/>
        <v>0</v>
      </c>
      <c r="AJ37">
        <f t="shared" si="33"/>
        <v>0</v>
      </c>
      <c r="AK37">
        <f>AL37+AM37+AO37</f>
        <v>117.17</v>
      </c>
      <c r="AL37" s="106">
        <f>'1.Лок.смета.и.Акт'!F94</f>
        <v>14.37</v>
      </c>
      <c r="AM37">
        <v>0</v>
      </c>
      <c r="AN37">
        <v>0</v>
      </c>
      <c r="AO37" s="106">
        <f>'1.Лок.смета.и.Акт'!F93</f>
        <v>102.8</v>
      </c>
      <c r="AP37">
        <v>0</v>
      </c>
      <c r="AQ37">
        <f>'1.Лок.смета.и.Акт'!E97</f>
        <v>9.27</v>
      </c>
      <c r="AR37">
        <v>0</v>
      </c>
      <c r="AS37">
        <v>0</v>
      </c>
      <c r="AT37">
        <v>80</v>
      </c>
      <c r="AU37">
        <v>60</v>
      </c>
      <c r="AV37">
        <v>1</v>
      </c>
      <c r="AW37">
        <v>1</v>
      </c>
      <c r="AZ37">
        <v>12.5</v>
      </c>
      <c r="BA37">
        <f>'1.Лок.смета.и.Акт'!J93</f>
        <v>12.5</v>
      </c>
      <c r="BB37">
        <v>12.5</v>
      </c>
      <c r="BC37">
        <f>'1.Лок.смета.и.Акт'!J94</f>
        <v>12.5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53</v>
      </c>
      <c r="BM37">
        <v>111003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v>12.5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80</v>
      </c>
      <c r="CA37">
        <v>60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117.17</v>
      </c>
      <c r="CQ37">
        <f t="shared" si="35"/>
        <v>179.625</v>
      </c>
      <c r="CR37">
        <f t="shared" si="36"/>
        <v>0</v>
      </c>
      <c r="CS37">
        <f t="shared" si="37"/>
        <v>0</v>
      </c>
      <c r="CT37">
        <f t="shared" si="38"/>
        <v>1285</v>
      </c>
      <c r="CU37">
        <f t="shared" si="39"/>
        <v>0</v>
      </c>
      <c r="CV37">
        <f t="shared" si="40"/>
        <v>9.27</v>
      </c>
      <c r="CW37">
        <f t="shared" si="41"/>
        <v>0</v>
      </c>
      <c r="CX37">
        <f t="shared" si="42"/>
        <v>0</v>
      </c>
      <c r="CY37">
        <f t="shared" si="43"/>
        <v>82.24</v>
      </c>
      <c r="CZ37">
        <f t="shared" si="44"/>
        <v>61.68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52</v>
      </c>
      <c r="DW37" t="str">
        <f>'1.Лок.смета.и.Акт'!D92</f>
        <v>100 м</v>
      </c>
      <c r="DX37">
        <v>100</v>
      </c>
      <c r="EE37">
        <v>32653249</v>
      </c>
      <c r="EF37">
        <v>2</v>
      </c>
      <c r="EG37" t="s">
        <v>26</v>
      </c>
      <c r="EH37">
        <v>0</v>
      </c>
      <c r="EI37" t="s">
        <v>3</v>
      </c>
      <c r="EJ37">
        <v>2</v>
      </c>
      <c r="EK37">
        <v>111003</v>
      </c>
      <c r="EL37" t="s">
        <v>54</v>
      </c>
      <c r="EM37" t="s">
        <v>55</v>
      </c>
      <c r="EO37" t="s">
        <v>3</v>
      </c>
      <c r="EQ37">
        <v>0</v>
      </c>
      <c r="ER37">
        <f>ES37+ET37+EV37</f>
        <v>117.17</v>
      </c>
      <c r="ES37" s="106">
        <f>'1.Лок.смета.и.Акт'!F94</f>
        <v>14.37</v>
      </c>
      <c r="ET37">
        <v>0</v>
      </c>
      <c r="EU37">
        <v>0</v>
      </c>
      <c r="EV37" s="106">
        <f>'1.Лок.смета.и.Акт'!F93</f>
        <v>102.8</v>
      </c>
      <c r="EW37">
        <f>'1.Лок.смета.и.Акт'!E97</f>
        <v>9.27</v>
      </c>
      <c r="EX37">
        <v>0</v>
      </c>
      <c r="EY37">
        <v>0</v>
      </c>
      <c r="FQ37">
        <v>0</v>
      </c>
      <c r="FR37">
        <f t="shared" si="45"/>
        <v>0</v>
      </c>
      <c r="FS37">
        <v>0</v>
      </c>
      <c r="FX37">
        <v>80</v>
      </c>
      <c r="FY37">
        <v>60</v>
      </c>
      <c r="GA37" t="s">
        <v>3</v>
      </c>
      <c r="GD37">
        <v>1</v>
      </c>
      <c r="GF37">
        <v>330457198</v>
      </c>
      <c r="GG37">
        <v>1</v>
      </c>
      <c r="GH37">
        <v>1</v>
      </c>
      <c r="GI37">
        <v>4</v>
      </c>
      <c r="GJ37">
        <v>0</v>
      </c>
      <c r="GK37">
        <v>0</v>
      </c>
      <c r="GL37">
        <f t="shared" si="46"/>
        <v>0</v>
      </c>
      <c r="GM37">
        <f t="shared" si="47"/>
        <v>261.08999999999997</v>
      </c>
      <c r="GN37">
        <f t="shared" si="48"/>
        <v>0</v>
      </c>
      <c r="GO37">
        <f t="shared" si="49"/>
        <v>261.08999999999997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ROW(SmtRes!A74)</f>
        <v>74</v>
      </c>
      <c r="D38" s="2">
        <f>ROW(EtalonRes!A76)</f>
        <v>76</v>
      </c>
      <c r="E38" s="2" t="s">
        <v>56</v>
      </c>
      <c r="F38" s="2" t="s">
        <v>57</v>
      </c>
      <c r="G38" s="2" t="s">
        <v>58</v>
      </c>
      <c r="H38" s="2" t="s">
        <v>16</v>
      </c>
      <c r="I38" s="2">
        <f>'1.Лок.смета.и.Акт'!E99</f>
        <v>0.75</v>
      </c>
      <c r="J38" s="2">
        <v>0</v>
      </c>
      <c r="K38" s="2"/>
      <c r="L38" s="2"/>
      <c r="M38" s="2"/>
      <c r="N38" s="2"/>
      <c r="O38" s="2">
        <f t="shared" si="14"/>
        <v>70.650000000000006</v>
      </c>
      <c r="P38" s="2">
        <f t="shared" si="15"/>
        <v>1.39</v>
      </c>
      <c r="Q38" s="2">
        <f t="shared" si="16"/>
        <v>0</v>
      </c>
      <c r="R38" s="2">
        <f t="shared" si="17"/>
        <v>0</v>
      </c>
      <c r="S38" s="2">
        <f t="shared" si="18"/>
        <v>69.260000000000005</v>
      </c>
      <c r="T38" s="2">
        <f t="shared" si="19"/>
        <v>0</v>
      </c>
      <c r="U38" s="2">
        <f t="shared" si="20"/>
        <v>7.1999999999999993</v>
      </c>
      <c r="V38" s="2">
        <f t="shared" si="21"/>
        <v>0</v>
      </c>
      <c r="W38" s="2">
        <f t="shared" si="22"/>
        <v>0</v>
      </c>
      <c r="X38" s="2">
        <f t="shared" si="23"/>
        <v>65.8</v>
      </c>
      <c r="Y38" s="2">
        <f t="shared" si="24"/>
        <v>45.02</v>
      </c>
      <c r="Z38" s="2"/>
      <c r="AA38" s="2">
        <v>34748518</v>
      </c>
      <c r="AB38" s="2">
        <f t="shared" si="25"/>
        <v>94.2</v>
      </c>
      <c r="AC38" s="2">
        <f t="shared" si="26"/>
        <v>1.85</v>
      </c>
      <c r="AD38" s="2">
        <f t="shared" si="27"/>
        <v>0</v>
      </c>
      <c r="AE38" s="2">
        <f t="shared" si="28"/>
        <v>0</v>
      </c>
      <c r="AF38" s="2">
        <f t="shared" si="29"/>
        <v>92.35</v>
      </c>
      <c r="AG38" s="2">
        <f t="shared" si="30"/>
        <v>0</v>
      </c>
      <c r="AH38" s="2">
        <f t="shared" si="31"/>
        <v>9.6</v>
      </c>
      <c r="AI38" s="2">
        <f t="shared" si="32"/>
        <v>0</v>
      </c>
      <c r="AJ38" s="2">
        <f t="shared" si="33"/>
        <v>0</v>
      </c>
      <c r="AK38" s="2">
        <v>94.2</v>
      </c>
      <c r="AL38" s="2">
        <v>1.85</v>
      </c>
      <c r="AM38" s="2">
        <v>0</v>
      </c>
      <c r="AN38" s="2">
        <v>0</v>
      </c>
      <c r="AO38" s="2">
        <v>92.35</v>
      </c>
      <c r="AP38" s="2">
        <v>0</v>
      </c>
      <c r="AQ38" s="2">
        <v>9.6</v>
      </c>
      <c r="AR38" s="2">
        <v>0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70.650000000000006</v>
      </c>
      <c r="CQ38" s="2">
        <f t="shared" si="35"/>
        <v>1.85</v>
      </c>
      <c r="CR38" s="2">
        <f t="shared" si="36"/>
        <v>0</v>
      </c>
      <c r="CS38" s="2">
        <f t="shared" si="37"/>
        <v>0</v>
      </c>
      <c r="CT38" s="2">
        <f t="shared" si="38"/>
        <v>92.35</v>
      </c>
      <c r="CU38" s="2">
        <f t="shared" si="39"/>
        <v>0</v>
      </c>
      <c r="CV38" s="2">
        <f t="shared" si="40"/>
        <v>9.6</v>
      </c>
      <c r="CW38" s="2">
        <f t="shared" si="41"/>
        <v>0</v>
      </c>
      <c r="CX38" s="2">
        <f t="shared" si="42"/>
        <v>0</v>
      </c>
      <c r="CY38" s="2">
        <f t="shared" si="43"/>
        <v>65.797000000000011</v>
      </c>
      <c r="CZ38" s="2">
        <f t="shared" si="44"/>
        <v>45.019000000000005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16</v>
      </c>
      <c r="DW38" s="2" t="s">
        <v>16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26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27</v>
      </c>
      <c r="EM38" s="2" t="s">
        <v>28</v>
      </c>
      <c r="EN38" s="2"/>
      <c r="EO38" s="2" t="s">
        <v>3</v>
      </c>
      <c r="EP38" s="2"/>
      <c r="EQ38" s="2">
        <v>0</v>
      </c>
      <c r="ER38" s="2">
        <v>94.2</v>
      </c>
      <c r="ES38" s="2">
        <v>1.85</v>
      </c>
      <c r="ET38" s="2">
        <v>0</v>
      </c>
      <c r="EU38" s="2">
        <v>0</v>
      </c>
      <c r="EV38" s="2">
        <v>92.35</v>
      </c>
      <c r="EW38" s="2">
        <v>9.6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1</v>
      </c>
      <c r="GE38" s="2"/>
      <c r="GF38" s="2">
        <v>-777812502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6"/>
        <v>0</v>
      </c>
      <c r="GM38" s="2">
        <f t="shared" si="47"/>
        <v>181.47</v>
      </c>
      <c r="GN38" s="2">
        <f t="shared" si="48"/>
        <v>0</v>
      </c>
      <c r="GO38" s="2">
        <f t="shared" si="49"/>
        <v>181.47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>
        <f t="shared" si="53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ROW(SmtRes!A76)</f>
        <v>76</v>
      </c>
      <c r="D39">
        <f>ROW(EtalonRes!A78)</f>
        <v>78</v>
      </c>
      <c r="E39" t="s">
        <v>56</v>
      </c>
      <c r="F39" t="s">
        <v>57</v>
      </c>
      <c r="G39" t="s">
        <v>58</v>
      </c>
      <c r="H39" t="s">
        <v>16</v>
      </c>
      <c r="I39">
        <f>'1.Лок.смета.и.Акт'!E99</f>
        <v>0.75</v>
      </c>
      <c r="J39">
        <v>0</v>
      </c>
      <c r="O39">
        <f t="shared" si="14"/>
        <v>883.12</v>
      </c>
      <c r="P39">
        <f t="shared" si="15"/>
        <v>17.34</v>
      </c>
      <c r="Q39">
        <f t="shared" si="16"/>
        <v>0</v>
      </c>
      <c r="R39">
        <f t="shared" si="17"/>
        <v>0</v>
      </c>
      <c r="S39">
        <f t="shared" si="18"/>
        <v>865.78</v>
      </c>
      <c r="T39">
        <f t="shared" si="19"/>
        <v>0</v>
      </c>
      <c r="U39">
        <f t="shared" si="20"/>
        <v>7.1999999999999993</v>
      </c>
      <c r="V39">
        <f t="shared" si="21"/>
        <v>0</v>
      </c>
      <c r="W39">
        <f t="shared" si="22"/>
        <v>0</v>
      </c>
      <c r="X39">
        <f t="shared" si="23"/>
        <v>822.49</v>
      </c>
      <c r="Y39">
        <f t="shared" si="24"/>
        <v>562.76</v>
      </c>
      <c r="AA39">
        <v>34748540</v>
      </c>
      <c r="AB39">
        <f t="shared" si="25"/>
        <v>94.2</v>
      </c>
      <c r="AC39">
        <f t="shared" si="26"/>
        <v>1.85</v>
      </c>
      <c r="AD39">
        <f t="shared" si="27"/>
        <v>0</v>
      </c>
      <c r="AE39">
        <f t="shared" si="28"/>
        <v>0</v>
      </c>
      <c r="AF39">
        <f t="shared" si="29"/>
        <v>92.35</v>
      </c>
      <c r="AG39">
        <f t="shared" si="30"/>
        <v>0</v>
      </c>
      <c r="AH39">
        <f t="shared" si="31"/>
        <v>9.6</v>
      </c>
      <c r="AI39">
        <f t="shared" si="32"/>
        <v>0</v>
      </c>
      <c r="AJ39">
        <f t="shared" si="33"/>
        <v>0</v>
      </c>
      <c r="AK39">
        <f>AL39+AM39+AO39</f>
        <v>94.199999999999989</v>
      </c>
      <c r="AL39" s="106">
        <f>'1.Лок.смета.и.Акт'!F101</f>
        <v>1.85</v>
      </c>
      <c r="AM39">
        <v>0</v>
      </c>
      <c r="AN39">
        <v>0</v>
      </c>
      <c r="AO39" s="106">
        <f>'1.Лок.смета.и.Акт'!F100</f>
        <v>92.35</v>
      </c>
      <c r="AP39">
        <v>0</v>
      </c>
      <c r="AQ39">
        <f>'1.Лок.смета.и.Акт'!E104</f>
        <v>9.6</v>
      </c>
      <c r="AR39">
        <v>0</v>
      </c>
      <c r="AS39">
        <v>0</v>
      </c>
      <c r="AT39">
        <v>95</v>
      </c>
      <c r="AU39">
        <v>65</v>
      </c>
      <c r="AV39">
        <v>1</v>
      </c>
      <c r="AW39">
        <v>1</v>
      </c>
      <c r="AZ39">
        <v>12.5</v>
      </c>
      <c r="BA39">
        <f>'1.Лок.смета.и.Акт'!J100</f>
        <v>12.5</v>
      </c>
      <c r="BB39">
        <v>12.5</v>
      </c>
      <c r="BC39">
        <f>'1.Лок.смета.и.Акт'!J101</f>
        <v>12.5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v>12.5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883.12</v>
      </c>
      <c r="CQ39">
        <f t="shared" si="35"/>
        <v>23.125</v>
      </c>
      <c r="CR39">
        <f t="shared" si="36"/>
        <v>0</v>
      </c>
      <c r="CS39">
        <f t="shared" si="37"/>
        <v>0</v>
      </c>
      <c r="CT39">
        <f t="shared" si="38"/>
        <v>1154.375</v>
      </c>
      <c r="CU39">
        <f t="shared" si="39"/>
        <v>0</v>
      </c>
      <c r="CV39">
        <f t="shared" si="40"/>
        <v>9.6</v>
      </c>
      <c r="CW39">
        <f t="shared" si="41"/>
        <v>0</v>
      </c>
      <c r="CX39">
        <f t="shared" si="42"/>
        <v>0</v>
      </c>
      <c r="CY39">
        <f t="shared" si="43"/>
        <v>822.49099999999987</v>
      </c>
      <c r="CZ39">
        <f t="shared" si="44"/>
        <v>562.75699999999995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16</v>
      </c>
      <c r="DW39" t="str">
        <f>'1.Лок.смета.и.Акт'!D99</f>
        <v>100 ШТ</v>
      </c>
      <c r="DX39">
        <v>1</v>
      </c>
      <c r="EE39">
        <v>32653241</v>
      </c>
      <c r="EF39">
        <v>2</v>
      </c>
      <c r="EG39" t="s">
        <v>26</v>
      </c>
      <c r="EH39">
        <v>0</v>
      </c>
      <c r="EI39" t="s">
        <v>3</v>
      </c>
      <c r="EJ39">
        <v>2</v>
      </c>
      <c r="EK39">
        <v>108001</v>
      </c>
      <c r="EL39" t="s">
        <v>27</v>
      </c>
      <c r="EM39" t="s">
        <v>28</v>
      </c>
      <c r="EO39" t="s">
        <v>3</v>
      </c>
      <c r="EQ39">
        <v>0</v>
      </c>
      <c r="ER39">
        <f>ES39+ET39+EV39</f>
        <v>94.199999999999989</v>
      </c>
      <c r="ES39" s="106">
        <f>'1.Лок.смета.и.Акт'!F101</f>
        <v>1.85</v>
      </c>
      <c r="ET39">
        <v>0</v>
      </c>
      <c r="EU39">
        <v>0</v>
      </c>
      <c r="EV39" s="106">
        <f>'1.Лок.смета.и.Акт'!F100</f>
        <v>92.35</v>
      </c>
      <c r="EW39">
        <f>'1.Лок.смета.и.Акт'!E104</f>
        <v>9.6</v>
      </c>
      <c r="EX39">
        <v>0</v>
      </c>
      <c r="EY39">
        <v>0</v>
      </c>
      <c r="FQ39">
        <v>0</v>
      </c>
      <c r="FR39">
        <f t="shared" si="45"/>
        <v>0</v>
      </c>
      <c r="FS39">
        <v>0</v>
      </c>
      <c r="FX39">
        <v>95</v>
      </c>
      <c r="FY39">
        <v>65</v>
      </c>
      <c r="GA39" t="s">
        <v>3</v>
      </c>
      <c r="GD39">
        <v>1</v>
      </c>
      <c r="GF39">
        <v>-777812502</v>
      </c>
      <c r="GG39">
        <v>1</v>
      </c>
      <c r="GH39">
        <v>1</v>
      </c>
      <c r="GI39">
        <v>4</v>
      </c>
      <c r="GJ39">
        <v>0</v>
      </c>
      <c r="GK39">
        <v>0</v>
      </c>
      <c r="GL39">
        <f t="shared" si="46"/>
        <v>0</v>
      </c>
      <c r="GM39">
        <f t="shared" si="47"/>
        <v>2268.37</v>
      </c>
      <c r="GN39">
        <f t="shared" si="48"/>
        <v>0</v>
      </c>
      <c r="GO39">
        <f t="shared" si="49"/>
        <v>2268.37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F39">
        <v>-1</v>
      </c>
      <c r="IK39">
        <v>0</v>
      </c>
    </row>
    <row r="40" spans="1:255" x14ac:dyDescent="0.2">
      <c r="A40" s="2">
        <v>17</v>
      </c>
      <c r="B40" s="2">
        <v>1</v>
      </c>
      <c r="C40" s="2">
        <f>ROW(SmtRes!A84)</f>
        <v>84</v>
      </c>
      <c r="D40" s="2">
        <f>ROW(EtalonRes!A86)</f>
        <v>86</v>
      </c>
      <c r="E40" s="2" t="s">
        <v>60</v>
      </c>
      <c r="F40" s="2" t="s">
        <v>61</v>
      </c>
      <c r="G40" s="2" t="s">
        <v>62</v>
      </c>
      <c r="H40" s="2" t="s">
        <v>52</v>
      </c>
      <c r="I40" s="2">
        <f>'1.Лок.смета.и.Акт'!E106</f>
        <v>0.100827</v>
      </c>
      <c r="J40" s="2">
        <v>0</v>
      </c>
      <c r="K40" s="2"/>
      <c r="L40" s="2"/>
      <c r="M40" s="2"/>
      <c r="N40" s="2"/>
      <c r="O40" s="2">
        <f t="shared" si="14"/>
        <v>106.79</v>
      </c>
      <c r="P40" s="2">
        <f t="shared" si="15"/>
        <v>52.13</v>
      </c>
      <c r="Q40" s="2">
        <f t="shared" si="16"/>
        <v>15.79</v>
      </c>
      <c r="R40" s="2">
        <f t="shared" si="17"/>
        <v>1.76</v>
      </c>
      <c r="S40" s="2">
        <f t="shared" si="18"/>
        <v>38.869999999999997</v>
      </c>
      <c r="T40" s="2">
        <f t="shared" si="19"/>
        <v>0</v>
      </c>
      <c r="U40" s="2">
        <f t="shared" si="20"/>
        <v>4.2851474999999999</v>
      </c>
      <c r="V40" s="2">
        <f t="shared" si="21"/>
        <v>0.17543897999999999</v>
      </c>
      <c r="W40" s="2">
        <f t="shared" si="22"/>
        <v>0</v>
      </c>
      <c r="X40" s="2">
        <f t="shared" si="23"/>
        <v>32.5</v>
      </c>
      <c r="Y40" s="2">
        <f t="shared" si="24"/>
        <v>24.38</v>
      </c>
      <c r="Z40" s="2"/>
      <c r="AA40" s="2">
        <v>34748518</v>
      </c>
      <c r="AB40" s="2">
        <f t="shared" si="25"/>
        <v>1059.04</v>
      </c>
      <c r="AC40" s="2">
        <f t="shared" si="26"/>
        <v>516.98</v>
      </c>
      <c r="AD40" s="2">
        <f t="shared" si="27"/>
        <v>156.58000000000001</v>
      </c>
      <c r="AE40" s="2">
        <f t="shared" si="28"/>
        <v>17.5</v>
      </c>
      <c r="AF40" s="2">
        <f t="shared" si="29"/>
        <v>385.48</v>
      </c>
      <c r="AG40" s="2">
        <f t="shared" si="30"/>
        <v>0</v>
      </c>
      <c r="AH40" s="2">
        <f t="shared" si="31"/>
        <v>42.5</v>
      </c>
      <c r="AI40" s="2">
        <f t="shared" si="32"/>
        <v>1.74</v>
      </c>
      <c r="AJ40" s="2">
        <f t="shared" si="33"/>
        <v>0</v>
      </c>
      <c r="AK40" s="2">
        <v>1059.04</v>
      </c>
      <c r="AL40" s="2">
        <v>516.98</v>
      </c>
      <c r="AM40" s="2">
        <v>156.58000000000001</v>
      </c>
      <c r="AN40" s="2">
        <v>17.5</v>
      </c>
      <c r="AO40" s="2">
        <v>385.48</v>
      </c>
      <c r="AP40" s="2">
        <v>0</v>
      </c>
      <c r="AQ40" s="2">
        <v>42.5</v>
      </c>
      <c r="AR40" s="2">
        <v>1.74</v>
      </c>
      <c r="AS40" s="2">
        <v>0</v>
      </c>
      <c r="AT40" s="2">
        <v>80</v>
      </c>
      <c r="AU40" s="2">
        <v>60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2</v>
      </c>
      <c r="BJ40" s="2" t="s">
        <v>63</v>
      </c>
      <c r="BK40" s="2"/>
      <c r="BL40" s="2"/>
      <c r="BM40" s="2">
        <v>110001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80</v>
      </c>
      <c r="CA40" s="2">
        <v>60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106.78999999999999</v>
      </c>
      <c r="CQ40" s="2">
        <f t="shared" si="35"/>
        <v>516.98</v>
      </c>
      <c r="CR40" s="2">
        <f t="shared" si="36"/>
        <v>156.58000000000001</v>
      </c>
      <c r="CS40" s="2">
        <f t="shared" si="37"/>
        <v>17.5</v>
      </c>
      <c r="CT40" s="2">
        <f t="shared" si="38"/>
        <v>385.48</v>
      </c>
      <c r="CU40" s="2">
        <f t="shared" si="39"/>
        <v>0</v>
      </c>
      <c r="CV40" s="2">
        <f t="shared" si="40"/>
        <v>42.5</v>
      </c>
      <c r="CW40" s="2">
        <f t="shared" si="41"/>
        <v>1.74</v>
      </c>
      <c r="CX40" s="2">
        <f t="shared" si="42"/>
        <v>0</v>
      </c>
      <c r="CY40" s="2">
        <f t="shared" si="43"/>
        <v>32.503999999999998</v>
      </c>
      <c r="CZ40" s="2">
        <f t="shared" si="44"/>
        <v>24.377999999999997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52</v>
      </c>
      <c r="DW40" s="2" t="s">
        <v>52</v>
      </c>
      <c r="DX40" s="2">
        <v>100</v>
      </c>
      <c r="DY40" s="2"/>
      <c r="DZ40" s="2"/>
      <c r="EA40" s="2"/>
      <c r="EB40" s="2"/>
      <c r="EC40" s="2"/>
      <c r="ED40" s="2"/>
      <c r="EE40" s="2">
        <v>32653244</v>
      </c>
      <c r="EF40" s="2">
        <v>2</v>
      </c>
      <c r="EG40" s="2" t="s">
        <v>26</v>
      </c>
      <c r="EH40" s="2">
        <v>0</v>
      </c>
      <c r="EI40" s="2" t="s">
        <v>3</v>
      </c>
      <c r="EJ40" s="2">
        <v>2</v>
      </c>
      <c r="EK40" s="2">
        <v>110001</v>
      </c>
      <c r="EL40" s="2" t="s">
        <v>64</v>
      </c>
      <c r="EM40" s="2" t="s">
        <v>65</v>
      </c>
      <c r="EN40" s="2"/>
      <c r="EO40" s="2" t="s">
        <v>3</v>
      </c>
      <c r="EP40" s="2"/>
      <c r="EQ40" s="2">
        <v>0</v>
      </c>
      <c r="ER40" s="2">
        <v>1059.04</v>
      </c>
      <c r="ES40" s="2">
        <v>516.98</v>
      </c>
      <c r="ET40" s="2">
        <v>156.58000000000001</v>
      </c>
      <c r="EU40" s="2">
        <v>17.5</v>
      </c>
      <c r="EV40" s="2">
        <v>385.48</v>
      </c>
      <c r="EW40" s="2">
        <v>42.5</v>
      </c>
      <c r="EX40" s="2">
        <v>1.74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80</v>
      </c>
      <c r="FY40" s="2">
        <v>60</v>
      </c>
      <c r="FZ40" s="2"/>
      <c r="GA40" s="2" t="s">
        <v>3</v>
      </c>
      <c r="GB40" s="2"/>
      <c r="GC40" s="2"/>
      <c r="GD40" s="2">
        <v>1</v>
      </c>
      <c r="GE40" s="2"/>
      <c r="GF40" s="2">
        <v>235602342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6"/>
        <v>0</v>
      </c>
      <c r="GM40" s="2">
        <f t="shared" si="47"/>
        <v>163.66999999999999</v>
      </c>
      <c r="GN40" s="2">
        <f t="shared" si="48"/>
        <v>0</v>
      </c>
      <c r="GO40" s="2">
        <f t="shared" si="49"/>
        <v>163.66999999999999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>
        <f t="shared" si="53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ROW(SmtRes!A92)</f>
        <v>92</v>
      </c>
      <c r="D41">
        <f>ROW(EtalonRes!A94)</f>
        <v>94</v>
      </c>
      <c r="E41" t="s">
        <v>60</v>
      </c>
      <c r="F41" t="s">
        <v>61</v>
      </c>
      <c r="G41" t="s">
        <v>62</v>
      </c>
      <c r="H41" t="s">
        <v>52</v>
      </c>
      <c r="I41">
        <f>'1.Лок.смета.и.Акт'!E106</f>
        <v>0.100827</v>
      </c>
      <c r="J41">
        <v>0</v>
      </c>
      <c r="O41">
        <f t="shared" si="14"/>
        <v>1334.74</v>
      </c>
      <c r="P41">
        <f t="shared" si="15"/>
        <v>651.57000000000005</v>
      </c>
      <c r="Q41">
        <f t="shared" si="16"/>
        <v>197.34</v>
      </c>
      <c r="R41">
        <f t="shared" si="17"/>
        <v>22.06</v>
      </c>
      <c r="S41">
        <f t="shared" si="18"/>
        <v>485.83</v>
      </c>
      <c r="T41">
        <f t="shared" si="19"/>
        <v>0</v>
      </c>
      <c r="U41">
        <f t="shared" si="20"/>
        <v>4.2851474999999999</v>
      </c>
      <c r="V41">
        <f t="shared" si="21"/>
        <v>0.17543897999999999</v>
      </c>
      <c r="W41">
        <f t="shared" si="22"/>
        <v>0</v>
      </c>
      <c r="X41">
        <f t="shared" si="23"/>
        <v>406.31</v>
      </c>
      <c r="Y41">
        <f t="shared" si="24"/>
        <v>304.73</v>
      </c>
      <c r="AA41">
        <v>34748540</v>
      </c>
      <c r="AB41">
        <f t="shared" si="25"/>
        <v>1059.04</v>
      </c>
      <c r="AC41">
        <f t="shared" si="26"/>
        <v>516.98</v>
      </c>
      <c r="AD41">
        <f t="shared" si="27"/>
        <v>156.58000000000001</v>
      </c>
      <c r="AE41">
        <f t="shared" si="28"/>
        <v>17.5</v>
      </c>
      <c r="AF41">
        <f t="shared" si="29"/>
        <v>385.48</v>
      </c>
      <c r="AG41">
        <f t="shared" si="30"/>
        <v>0</v>
      </c>
      <c r="AH41">
        <f t="shared" si="31"/>
        <v>42.5</v>
      </c>
      <c r="AI41">
        <f t="shared" si="32"/>
        <v>1.74</v>
      </c>
      <c r="AJ41">
        <f t="shared" si="33"/>
        <v>0</v>
      </c>
      <c r="AK41">
        <f>AL41+AM41+AO41</f>
        <v>1059.04</v>
      </c>
      <c r="AL41" s="106">
        <f>'1.Лок.смета.и.Акт'!F110</f>
        <v>516.98</v>
      </c>
      <c r="AM41" s="106">
        <f>'1.Лок.смета.и.Акт'!F108</f>
        <v>156.58000000000001</v>
      </c>
      <c r="AN41" s="106">
        <f>'1.Лок.смета.и.Акт'!F109</f>
        <v>17.5</v>
      </c>
      <c r="AO41" s="106">
        <f>'1.Лок.смета.и.Акт'!F107</f>
        <v>385.48</v>
      </c>
      <c r="AP41">
        <v>0</v>
      </c>
      <c r="AQ41">
        <f>'1.Лок.смета.и.Акт'!E113</f>
        <v>42.5</v>
      </c>
      <c r="AR41">
        <v>1.74</v>
      </c>
      <c r="AS41">
        <v>0</v>
      </c>
      <c r="AT41">
        <v>80</v>
      </c>
      <c r="AU41">
        <v>60</v>
      </c>
      <c r="AV41">
        <v>1</v>
      </c>
      <c r="AW41">
        <v>1</v>
      </c>
      <c r="AZ41">
        <v>12.5</v>
      </c>
      <c r="BA41">
        <f>'1.Лок.смета.и.Акт'!J107</f>
        <v>12.5</v>
      </c>
      <c r="BB41">
        <f>'1.Лок.смета.и.Акт'!J108</f>
        <v>12.5</v>
      </c>
      <c r="BC41">
        <f>'1.Лок.смета.и.Акт'!J110</f>
        <v>12.5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2</v>
      </c>
      <c r="BJ41" t="s">
        <v>63</v>
      </c>
      <c r="BM41">
        <v>110001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f>'1.Лок.смета.и.Акт'!J109</f>
        <v>12.5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80</v>
      </c>
      <c r="CA41">
        <v>60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1334.74</v>
      </c>
      <c r="CQ41">
        <f t="shared" si="35"/>
        <v>6462.25</v>
      </c>
      <c r="CR41">
        <f t="shared" si="36"/>
        <v>1957.2500000000002</v>
      </c>
      <c r="CS41">
        <f t="shared" si="37"/>
        <v>218.75</v>
      </c>
      <c r="CT41">
        <f t="shared" si="38"/>
        <v>4818.5</v>
      </c>
      <c r="CU41">
        <f t="shared" si="39"/>
        <v>0</v>
      </c>
      <c r="CV41">
        <f t="shared" si="40"/>
        <v>42.5</v>
      </c>
      <c r="CW41">
        <f t="shared" si="41"/>
        <v>1.74</v>
      </c>
      <c r="CX41">
        <f t="shared" si="42"/>
        <v>0</v>
      </c>
      <c r="CY41">
        <f t="shared" si="43"/>
        <v>406.31199999999995</v>
      </c>
      <c r="CZ41">
        <f t="shared" si="44"/>
        <v>304.73399999999998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52</v>
      </c>
      <c r="DW41" t="str">
        <f>'1.Лок.смета.и.Акт'!D106</f>
        <v>100 м</v>
      </c>
      <c r="DX41">
        <v>100</v>
      </c>
      <c r="EE41">
        <v>32653244</v>
      </c>
      <c r="EF41">
        <v>2</v>
      </c>
      <c r="EG41" t="s">
        <v>26</v>
      </c>
      <c r="EH41">
        <v>0</v>
      </c>
      <c r="EI41" t="s">
        <v>3</v>
      </c>
      <c r="EJ41">
        <v>2</v>
      </c>
      <c r="EK41">
        <v>110001</v>
      </c>
      <c r="EL41" t="s">
        <v>64</v>
      </c>
      <c r="EM41" t="s">
        <v>65</v>
      </c>
      <c r="EO41" t="s">
        <v>3</v>
      </c>
      <c r="EQ41">
        <v>0</v>
      </c>
      <c r="ER41">
        <f>ES41+ET41+EV41</f>
        <v>1059.04</v>
      </c>
      <c r="ES41" s="106">
        <f>'1.Лок.смета.и.Акт'!F110</f>
        <v>516.98</v>
      </c>
      <c r="ET41" s="106">
        <f>'1.Лок.смета.и.Акт'!F108</f>
        <v>156.58000000000001</v>
      </c>
      <c r="EU41" s="106">
        <f>'1.Лок.смета.и.Акт'!F109</f>
        <v>17.5</v>
      </c>
      <c r="EV41" s="106">
        <f>'1.Лок.смета.и.Акт'!F107</f>
        <v>385.48</v>
      </c>
      <c r="EW41">
        <f>'1.Лок.смета.и.Акт'!E113</f>
        <v>42.5</v>
      </c>
      <c r="EX41">
        <v>1.74</v>
      </c>
      <c r="EY41">
        <v>0</v>
      </c>
      <c r="FQ41">
        <v>0</v>
      </c>
      <c r="FR41">
        <f t="shared" si="45"/>
        <v>0</v>
      </c>
      <c r="FS41">
        <v>0</v>
      </c>
      <c r="FX41">
        <v>80</v>
      </c>
      <c r="FY41">
        <v>60</v>
      </c>
      <c r="GA41" t="s">
        <v>3</v>
      </c>
      <c r="GD41">
        <v>1</v>
      </c>
      <c r="GF41">
        <v>235602342</v>
      </c>
      <c r="GG41">
        <v>1</v>
      </c>
      <c r="GH41">
        <v>1</v>
      </c>
      <c r="GI41">
        <v>4</v>
      </c>
      <c r="GJ41">
        <v>0</v>
      </c>
      <c r="GK41">
        <v>0</v>
      </c>
      <c r="GL41">
        <f t="shared" si="46"/>
        <v>0</v>
      </c>
      <c r="GM41">
        <f t="shared" si="47"/>
        <v>2045.78</v>
      </c>
      <c r="GN41">
        <f t="shared" si="48"/>
        <v>0</v>
      </c>
      <c r="GO41">
        <f t="shared" si="49"/>
        <v>2045.78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F41">
        <v>-1</v>
      </c>
      <c r="IK41">
        <v>0</v>
      </c>
    </row>
    <row r="42" spans="1:255" x14ac:dyDescent="0.2">
      <c r="A42" s="2">
        <v>17</v>
      </c>
      <c r="B42" s="2">
        <v>1</v>
      </c>
      <c r="C42" s="2">
        <f>ROW(SmtRes!A94)</f>
        <v>94</v>
      </c>
      <c r="D42" s="2">
        <f>ROW(EtalonRes!A96)</f>
        <v>96</v>
      </c>
      <c r="E42" s="2" t="s">
        <v>66</v>
      </c>
      <c r="F42" s="2" t="s">
        <v>67</v>
      </c>
      <c r="G42" s="2" t="s">
        <v>68</v>
      </c>
      <c r="H42" s="2" t="s">
        <v>24</v>
      </c>
      <c r="I42" s="2">
        <f>'1.Лок.смета.и.Акт'!E115</f>
        <v>2</v>
      </c>
      <c r="J42" s="2">
        <v>0</v>
      </c>
      <c r="K42" s="2"/>
      <c r="L42" s="2"/>
      <c r="M42" s="2"/>
      <c r="N42" s="2"/>
      <c r="O42" s="2">
        <f t="shared" si="14"/>
        <v>41.5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41.5</v>
      </c>
      <c r="T42" s="2">
        <f t="shared" si="19"/>
        <v>0</v>
      </c>
      <c r="U42" s="2">
        <f t="shared" si="20"/>
        <v>3.24</v>
      </c>
      <c r="V42" s="2">
        <f t="shared" si="21"/>
        <v>0</v>
      </c>
      <c r="W42" s="2">
        <f t="shared" si="22"/>
        <v>0</v>
      </c>
      <c r="X42" s="2">
        <f t="shared" si="23"/>
        <v>26.98</v>
      </c>
      <c r="Y42" s="2">
        <f t="shared" si="24"/>
        <v>16.600000000000001</v>
      </c>
      <c r="Z42" s="2"/>
      <c r="AA42" s="2">
        <v>34748518</v>
      </c>
      <c r="AB42" s="2">
        <f t="shared" si="25"/>
        <v>20.75</v>
      </c>
      <c r="AC42" s="2">
        <f t="shared" si="26"/>
        <v>0</v>
      </c>
      <c r="AD42" s="2">
        <f t="shared" si="27"/>
        <v>0</v>
      </c>
      <c r="AE42" s="2">
        <f t="shared" si="28"/>
        <v>0</v>
      </c>
      <c r="AF42" s="2">
        <f t="shared" si="29"/>
        <v>20.75</v>
      </c>
      <c r="AG42" s="2">
        <f t="shared" si="30"/>
        <v>0</v>
      </c>
      <c r="AH42" s="2">
        <f t="shared" si="31"/>
        <v>1.62</v>
      </c>
      <c r="AI42" s="2">
        <f t="shared" si="32"/>
        <v>0</v>
      </c>
      <c r="AJ42" s="2">
        <f t="shared" si="33"/>
        <v>0</v>
      </c>
      <c r="AK42" s="2">
        <v>20.75</v>
      </c>
      <c r="AL42" s="2">
        <v>0</v>
      </c>
      <c r="AM42" s="2">
        <v>0</v>
      </c>
      <c r="AN42" s="2">
        <v>0</v>
      </c>
      <c r="AO42" s="2">
        <v>20.75</v>
      </c>
      <c r="AP42" s="2">
        <v>0</v>
      </c>
      <c r="AQ42" s="2">
        <v>1.62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69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41.5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20.75</v>
      </c>
      <c r="CU42" s="2">
        <f t="shared" si="39"/>
        <v>0</v>
      </c>
      <c r="CV42" s="2">
        <f t="shared" si="40"/>
        <v>1.62</v>
      </c>
      <c r="CW42" s="2">
        <f t="shared" si="41"/>
        <v>0</v>
      </c>
      <c r="CX42" s="2">
        <f t="shared" si="42"/>
        <v>0</v>
      </c>
      <c r="CY42" s="2">
        <f t="shared" si="43"/>
        <v>26.975000000000001</v>
      </c>
      <c r="CZ42" s="2">
        <f t="shared" si="44"/>
        <v>16.600000000000001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24</v>
      </c>
      <c r="DW42" s="2" t="s">
        <v>24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33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34</v>
      </c>
      <c r="EM42" s="2" t="s">
        <v>35</v>
      </c>
      <c r="EN42" s="2"/>
      <c r="EO42" s="2" t="s">
        <v>3</v>
      </c>
      <c r="EP42" s="2"/>
      <c r="EQ42" s="2">
        <v>0</v>
      </c>
      <c r="ER42" s="2">
        <v>20.75</v>
      </c>
      <c r="ES42" s="2">
        <v>0</v>
      </c>
      <c r="ET42" s="2">
        <v>0</v>
      </c>
      <c r="EU42" s="2">
        <v>0</v>
      </c>
      <c r="EV42" s="2">
        <v>20.75</v>
      </c>
      <c r="EW42" s="2">
        <v>1.62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1</v>
      </c>
      <c r="GE42" s="2"/>
      <c r="GF42" s="2">
        <v>-64219545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6"/>
        <v>0</v>
      </c>
      <c r="GM42" s="2">
        <f t="shared" si="47"/>
        <v>85.08</v>
      </c>
      <c r="GN42" s="2">
        <f t="shared" si="48"/>
        <v>0</v>
      </c>
      <c r="GO42" s="2">
        <f t="shared" si="49"/>
        <v>0</v>
      </c>
      <c r="GP42" s="2">
        <f t="shared" si="50"/>
        <v>85.08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>
        <f t="shared" si="53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ROW(SmtRes!A96)</f>
        <v>96</v>
      </c>
      <c r="D43">
        <f>ROW(EtalonRes!A98)</f>
        <v>98</v>
      </c>
      <c r="E43" t="s">
        <v>66</v>
      </c>
      <c r="F43" t="s">
        <v>67</v>
      </c>
      <c r="G43" t="s">
        <v>68</v>
      </c>
      <c r="H43" t="s">
        <v>24</v>
      </c>
      <c r="I43">
        <f>'1.Лок.смета.и.Акт'!E115</f>
        <v>2</v>
      </c>
      <c r="J43">
        <v>0</v>
      </c>
      <c r="O43">
        <f t="shared" si="14"/>
        <v>759.45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759.45</v>
      </c>
      <c r="T43">
        <f t="shared" si="19"/>
        <v>0</v>
      </c>
      <c r="U43">
        <f t="shared" si="20"/>
        <v>3.24</v>
      </c>
      <c r="V43">
        <f t="shared" si="21"/>
        <v>0</v>
      </c>
      <c r="W43">
        <f t="shared" si="22"/>
        <v>0</v>
      </c>
      <c r="X43">
        <f t="shared" si="23"/>
        <v>493.64</v>
      </c>
      <c r="Y43">
        <f t="shared" si="24"/>
        <v>303.77999999999997</v>
      </c>
      <c r="AA43">
        <v>34748540</v>
      </c>
      <c r="AB43">
        <f t="shared" si="25"/>
        <v>20.75</v>
      </c>
      <c r="AC43">
        <f t="shared" si="26"/>
        <v>0</v>
      </c>
      <c r="AD43">
        <f t="shared" si="27"/>
        <v>0</v>
      </c>
      <c r="AE43">
        <f t="shared" si="28"/>
        <v>0</v>
      </c>
      <c r="AF43">
        <f t="shared" si="29"/>
        <v>20.75</v>
      </c>
      <c r="AG43">
        <f t="shared" si="30"/>
        <v>0</v>
      </c>
      <c r="AH43">
        <f t="shared" si="31"/>
        <v>1.62</v>
      </c>
      <c r="AI43">
        <f t="shared" si="32"/>
        <v>0</v>
      </c>
      <c r="AJ43">
        <f t="shared" si="33"/>
        <v>0</v>
      </c>
      <c r="AK43">
        <f>AL43+AM43+AO43</f>
        <v>20.75</v>
      </c>
      <c r="AL43">
        <v>0</v>
      </c>
      <c r="AM43">
        <v>0</v>
      </c>
      <c r="AN43">
        <v>0</v>
      </c>
      <c r="AO43" s="106">
        <f>'1.Лок.смета.и.Акт'!F116</f>
        <v>20.75</v>
      </c>
      <c r="AP43">
        <v>0</v>
      </c>
      <c r="AQ43">
        <f>'1.Лок.смета.и.Акт'!E119</f>
        <v>1.62</v>
      </c>
      <c r="AR43">
        <v>0</v>
      </c>
      <c r="AS43">
        <v>0</v>
      </c>
      <c r="AT43">
        <v>65</v>
      </c>
      <c r="AU43">
        <v>40</v>
      </c>
      <c r="AV43">
        <v>1</v>
      </c>
      <c r="AW43">
        <v>1</v>
      </c>
      <c r="AZ43">
        <v>18.3</v>
      </c>
      <c r="BA43">
        <f>'1.Лок.смета.и.Акт'!J116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69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759.45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379.72500000000002</v>
      </c>
      <c r="CU43">
        <f t="shared" si="39"/>
        <v>0</v>
      </c>
      <c r="CV43">
        <f t="shared" si="40"/>
        <v>1.62</v>
      </c>
      <c r="CW43">
        <f t="shared" si="41"/>
        <v>0</v>
      </c>
      <c r="CX43">
        <f t="shared" si="42"/>
        <v>0</v>
      </c>
      <c r="CY43">
        <f t="shared" si="43"/>
        <v>493.64249999999998</v>
      </c>
      <c r="CZ43">
        <f t="shared" si="44"/>
        <v>303.77999999999997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24</v>
      </c>
      <c r="DW43" t="str">
        <f>'1.Лок.смета.и.Акт'!D115</f>
        <v>ШТ</v>
      </c>
      <c r="DX43">
        <v>1</v>
      </c>
      <c r="EE43">
        <v>32653283</v>
      </c>
      <c r="EF43">
        <v>5</v>
      </c>
      <c r="EG43" t="s">
        <v>33</v>
      </c>
      <c r="EH43">
        <v>0</v>
      </c>
      <c r="EI43" t="s">
        <v>3</v>
      </c>
      <c r="EJ43">
        <v>4</v>
      </c>
      <c r="EK43">
        <v>200001</v>
      </c>
      <c r="EL43" t="s">
        <v>34</v>
      </c>
      <c r="EM43" t="s">
        <v>35</v>
      </c>
      <c r="EO43" t="s">
        <v>3</v>
      </c>
      <c r="EQ43">
        <v>0</v>
      </c>
      <c r="ER43">
        <f>ES43+ET43+EV43</f>
        <v>20.75</v>
      </c>
      <c r="ES43">
        <v>0</v>
      </c>
      <c r="ET43">
        <v>0</v>
      </c>
      <c r="EU43">
        <v>0</v>
      </c>
      <c r="EV43" s="106">
        <f>'1.Лок.смета.и.Акт'!F116</f>
        <v>20.75</v>
      </c>
      <c r="EW43">
        <f>'1.Лок.смета.и.Акт'!E119</f>
        <v>1.62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X43">
        <v>65</v>
      </c>
      <c r="FY43">
        <v>40</v>
      </c>
      <c r="GA43" t="s">
        <v>3</v>
      </c>
      <c r="GD43">
        <v>1</v>
      </c>
      <c r="GF43">
        <v>-64219545</v>
      </c>
      <c r="GG43">
        <v>1</v>
      </c>
      <c r="GH43">
        <v>1</v>
      </c>
      <c r="GI43">
        <v>4</v>
      </c>
      <c r="GJ43">
        <v>0</v>
      </c>
      <c r="GK43">
        <v>0</v>
      </c>
      <c r="GL43">
        <f t="shared" si="46"/>
        <v>0</v>
      </c>
      <c r="GM43">
        <f t="shared" si="47"/>
        <v>1556.87</v>
      </c>
      <c r="GN43">
        <f t="shared" si="48"/>
        <v>0</v>
      </c>
      <c r="GO43">
        <f t="shared" si="49"/>
        <v>0</v>
      </c>
      <c r="GP43">
        <f t="shared" si="50"/>
        <v>1556.87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F43">
        <v>-1</v>
      </c>
      <c r="IK43">
        <v>0</v>
      </c>
    </row>
    <row r="44" spans="1:255" x14ac:dyDescent="0.2">
      <c r="A44" s="2">
        <v>17</v>
      </c>
      <c r="B44" s="2">
        <v>1</v>
      </c>
      <c r="C44" s="2">
        <f>ROW(SmtRes!A105)</f>
        <v>105</v>
      </c>
      <c r="D44" s="2">
        <f>ROW(EtalonRes!A107)</f>
        <v>107</v>
      </c>
      <c r="E44" s="2" t="s">
        <v>70</v>
      </c>
      <c r="F44" s="2" t="s">
        <v>71</v>
      </c>
      <c r="G44" s="2" t="s">
        <v>72</v>
      </c>
      <c r="H44" s="2" t="s">
        <v>24</v>
      </c>
      <c r="I44" s="2">
        <f>'1.Лок.смета.и.Акт'!E121</f>
        <v>2</v>
      </c>
      <c r="J44" s="2">
        <v>0</v>
      </c>
      <c r="K44" s="2"/>
      <c r="L44" s="2"/>
      <c r="M44" s="2"/>
      <c r="N44" s="2"/>
      <c r="O44" s="2">
        <f t="shared" si="14"/>
        <v>102.52</v>
      </c>
      <c r="P44" s="2">
        <f t="shared" si="15"/>
        <v>22.16</v>
      </c>
      <c r="Q44" s="2">
        <f t="shared" si="16"/>
        <v>9.34</v>
      </c>
      <c r="R44" s="2">
        <f t="shared" si="17"/>
        <v>1.28</v>
      </c>
      <c r="S44" s="2">
        <f t="shared" si="18"/>
        <v>71.02</v>
      </c>
      <c r="T44" s="2">
        <f t="shared" si="19"/>
        <v>0</v>
      </c>
      <c r="U44" s="2">
        <f t="shared" si="20"/>
        <v>7.16</v>
      </c>
      <c r="V44" s="2">
        <f t="shared" si="21"/>
        <v>0.1</v>
      </c>
      <c r="W44" s="2">
        <f t="shared" si="22"/>
        <v>0</v>
      </c>
      <c r="X44" s="2">
        <f t="shared" si="23"/>
        <v>68.69</v>
      </c>
      <c r="Y44" s="2">
        <f t="shared" si="24"/>
        <v>47</v>
      </c>
      <c r="Z44" s="2"/>
      <c r="AA44" s="2">
        <v>34748518</v>
      </c>
      <c r="AB44" s="2">
        <f t="shared" si="25"/>
        <v>51.26</v>
      </c>
      <c r="AC44" s="2">
        <f t="shared" si="26"/>
        <v>11.08</v>
      </c>
      <c r="AD44" s="2">
        <f t="shared" si="27"/>
        <v>4.67</v>
      </c>
      <c r="AE44" s="2">
        <f t="shared" si="28"/>
        <v>0.64</v>
      </c>
      <c r="AF44" s="2">
        <f t="shared" si="29"/>
        <v>35.51</v>
      </c>
      <c r="AG44" s="2">
        <f t="shared" si="30"/>
        <v>0</v>
      </c>
      <c r="AH44" s="2">
        <f t="shared" si="31"/>
        <v>3.58</v>
      </c>
      <c r="AI44" s="2">
        <f t="shared" si="32"/>
        <v>0.05</v>
      </c>
      <c r="AJ44" s="2">
        <f t="shared" si="33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73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102.52</v>
      </c>
      <c r="CQ44" s="2">
        <f t="shared" si="35"/>
        <v>11.08</v>
      </c>
      <c r="CR44" s="2">
        <f t="shared" si="36"/>
        <v>4.67</v>
      </c>
      <c r="CS44" s="2">
        <f t="shared" si="37"/>
        <v>0.64</v>
      </c>
      <c r="CT44" s="2">
        <f t="shared" si="38"/>
        <v>35.51</v>
      </c>
      <c r="CU44" s="2">
        <f t="shared" si="39"/>
        <v>0</v>
      </c>
      <c r="CV44" s="2">
        <f t="shared" si="40"/>
        <v>3.58</v>
      </c>
      <c r="CW44" s="2">
        <f t="shared" si="41"/>
        <v>0.05</v>
      </c>
      <c r="CX44" s="2">
        <f t="shared" si="42"/>
        <v>0</v>
      </c>
      <c r="CY44" s="2">
        <f t="shared" si="43"/>
        <v>68.685000000000002</v>
      </c>
      <c r="CZ44" s="2">
        <f t="shared" si="44"/>
        <v>46.994999999999997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24</v>
      </c>
      <c r="DW44" s="2" t="s">
        <v>24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26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27</v>
      </c>
      <c r="EM44" s="2" t="s">
        <v>28</v>
      </c>
      <c r="EN44" s="2"/>
      <c r="EO44" s="2" t="s">
        <v>3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1</v>
      </c>
      <c r="GE44" s="2"/>
      <c r="GF44" s="2">
        <v>1509363400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6"/>
        <v>0</v>
      </c>
      <c r="GM44" s="2">
        <f t="shared" si="47"/>
        <v>218.21</v>
      </c>
      <c r="GN44" s="2">
        <f t="shared" si="48"/>
        <v>0</v>
      </c>
      <c r="GO44" s="2">
        <f t="shared" si="49"/>
        <v>218.21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>
        <f t="shared" si="53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ROW(SmtRes!A114)</f>
        <v>114</v>
      </c>
      <c r="D45">
        <f>ROW(EtalonRes!A116)</f>
        <v>116</v>
      </c>
      <c r="E45" t="s">
        <v>70</v>
      </c>
      <c r="F45" t="s">
        <v>71</v>
      </c>
      <c r="G45" t="s">
        <v>72</v>
      </c>
      <c r="H45" t="s">
        <v>24</v>
      </c>
      <c r="I45">
        <f>'1.Лок.смета.и.Акт'!E121</f>
        <v>2</v>
      </c>
      <c r="J45">
        <v>0</v>
      </c>
      <c r="O45">
        <f t="shared" si="14"/>
        <v>1281.5</v>
      </c>
      <c r="P45">
        <f t="shared" si="15"/>
        <v>277</v>
      </c>
      <c r="Q45">
        <f t="shared" si="16"/>
        <v>116.75</v>
      </c>
      <c r="R45">
        <f t="shared" si="17"/>
        <v>16</v>
      </c>
      <c r="S45">
        <f t="shared" si="18"/>
        <v>887.75</v>
      </c>
      <c r="T45">
        <f t="shared" si="19"/>
        <v>0</v>
      </c>
      <c r="U45">
        <f t="shared" si="20"/>
        <v>7.16</v>
      </c>
      <c r="V45">
        <f t="shared" si="21"/>
        <v>0.1</v>
      </c>
      <c r="W45">
        <f t="shared" si="22"/>
        <v>0</v>
      </c>
      <c r="X45">
        <f t="shared" si="23"/>
        <v>858.56</v>
      </c>
      <c r="Y45">
        <f t="shared" si="24"/>
        <v>587.44000000000005</v>
      </c>
      <c r="AA45">
        <v>34748540</v>
      </c>
      <c r="AB45">
        <f t="shared" si="25"/>
        <v>51.26</v>
      </c>
      <c r="AC45">
        <f t="shared" si="26"/>
        <v>11.08</v>
      </c>
      <c r="AD45">
        <f t="shared" si="27"/>
        <v>4.67</v>
      </c>
      <c r="AE45">
        <f t="shared" si="28"/>
        <v>0.64</v>
      </c>
      <c r="AF45">
        <f t="shared" si="29"/>
        <v>35.51</v>
      </c>
      <c r="AG45">
        <f t="shared" si="30"/>
        <v>0</v>
      </c>
      <c r="AH45">
        <f t="shared" si="31"/>
        <v>3.58</v>
      </c>
      <c r="AI45">
        <f t="shared" si="32"/>
        <v>0.05</v>
      </c>
      <c r="AJ45">
        <f t="shared" si="33"/>
        <v>0</v>
      </c>
      <c r="AK45">
        <f>AL45+AM45+AO45</f>
        <v>51.26</v>
      </c>
      <c r="AL45" s="106">
        <f>'1.Лок.смета.и.Акт'!F125</f>
        <v>11.08</v>
      </c>
      <c r="AM45" s="106">
        <f>'1.Лок.смета.и.Акт'!F123</f>
        <v>4.67</v>
      </c>
      <c r="AN45" s="106">
        <f>'1.Лок.смета.и.Акт'!F124</f>
        <v>0.64</v>
      </c>
      <c r="AO45" s="106">
        <f>'1.Лок.смета.и.Акт'!F122</f>
        <v>35.51</v>
      </c>
      <c r="AP45">
        <v>0</v>
      </c>
      <c r="AQ45">
        <f>'1.Лок.смета.и.Акт'!E128</f>
        <v>3.58</v>
      </c>
      <c r="AR45">
        <v>0.05</v>
      </c>
      <c r="AS45">
        <v>0</v>
      </c>
      <c r="AT45">
        <v>95</v>
      </c>
      <c r="AU45">
        <v>65</v>
      </c>
      <c r="AV45">
        <v>1</v>
      </c>
      <c r="AW45">
        <v>1</v>
      </c>
      <c r="AZ45">
        <v>12.5</v>
      </c>
      <c r="BA45">
        <f>'1.Лок.смета.и.Акт'!J122</f>
        <v>12.5</v>
      </c>
      <c r="BB45">
        <f>'1.Лок.смета.и.Акт'!J123</f>
        <v>12.5</v>
      </c>
      <c r="BC45">
        <f>'1.Лок.смета.и.Акт'!J125</f>
        <v>12.5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73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'1.Лок.смета.и.Акт'!J124</f>
        <v>12.5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1281.5</v>
      </c>
      <c r="CQ45">
        <f t="shared" si="35"/>
        <v>138.5</v>
      </c>
      <c r="CR45">
        <f t="shared" si="36"/>
        <v>58.375</v>
      </c>
      <c r="CS45">
        <f t="shared" si="37"/>
        <v>8</v>
      </c>
      <c r="CT45">
        <f t="shared" si="38"/>
        <v>443.875</v>
      </c>
      <c r="CU45">
        <f t="shared" si="39"/>
        <v>0</v>
      </c>
      <c r="CV45">
        <f t="shared" si="40"/>
        <v>3.58</v>
      </c>
      <c r="CW45">
        <f t="shared" si="41"/>
        <v>0.05</v>
      </c>
      <c r="CX45">
        <f t="shared" si="42"/>
        <v>0</v>
      </c>
      <c r="CY45">
        <f t="shared" si="43"/>
        <v>858.5625</v>
      </c>
      <c r="CZ45">
        <f t="shared" si="44"/>
        <v>587.4375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24</v>
      </c>
      <c r="DW45" t="str">
        <f>'1.Лок.смета.и.Акт'!D121</f>
        <v>ШТ</v>
      </c>
      <c r="DX45">
        <v>1</v>
      </c>
      <c r="EE45">
        <v>32653241</v>
      </c>
      <c r="EF45">
        <v>2</v>
      </c>
      <c r="EG45" t="s">
        <v>26</v>
      </c>
      <c r="EH45">
        <v>0</v>
      </c>
      <c r="EI45" t="s">
        <v>3</v>
      </c>
      <c r="EJ45">
        <v>2</v>
      </c>
      <c r="EK45">
        <v>108001</v>
      </c>
      <c r="EL45" t="s">
        <v>27</v>
      </c>
      <c r="EM45" t="s">
        <v>28</v>
      </c>
      <c r="EO45" t="s">
        <v>3</v>
      </c>
      <c r="EQ45">
        <v>0</v>
      </c>
      <c r="ER45">
        <f>ES45+ET45+EV45</f>
        <v>51.26</v>
      </c>
      <c r="ES45" s="106">
        <f>'1.Лок.смета.и.Акт'!F125</f>
        <v>11.08</v>
      </c>
      <c r="ET45" s="106">
        <f>'1.Лок.смета.и.Акт'!F123</f>
        <v>4.67</v>
      </c>
      <c r="EU45" s="106">
        <f>'1.Лок.смета.и.Акт'!F124</f>
        <v>0.64</v>
      </c>
      <c r="EV45" s="106">
        <f>'1.Лок.смета.и.Акт'!F122</f>
        <v>35.51</v>
      </c>
      <c r="EW45">
        <f>'1.Лок.смета.и.Акт'!E128</f>
        <v>3.58</v>
      </c>
      <c r="EX45">
        <v>0.05</v>
      </c>
      <c r="EY45">
        <v>0</v>
      </c>
      <c r="FQ45">
        <v>0</v>
      </c>
      <c r="FR45">
        <f t="shared" si="45"/>
        <v>0</v>
      </c>
      <c r="FS45">
        <v>0</v>
      </c>
      <c r="FX45">
        <v>95</v>
      </c>
      <c r="FY45">
        <v>65</v>
      </c>
      <c r="GA45" t="s">
        <v>3</v>
      </c>
      <c r="GD45">
        <v>1</v>
      </c>
      <c r="GF45">
        <v>1509363400</v>
      </c>
      <c r="GG45">
        <v>1</v>
      </c>
      <c r="GH45">
        <v>1</v>
      </c>
      <c r="GI45">
        <v>4</v>
      </c>
      <c r="GJ45">
        <v>0</v>
      </c>
      <c r="GK45">
        <v>0</v>
      </c>
      <c r="GL45">
        <f t="shared" si="46"/>
        <v>0</v>
      </c>
      <c r="GM45">
        <f t="shared" si="47"/>
        <v>2727.5</v>
      </c>
      <c r="GN45">
        <f t="shared" si="48"/>
        <v>0</v>
      </c>
      <c r="GO45">
        <f t="shared" si="49"/>
        <v>2727.5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F45">
        <v>-1</v>
      </c>
      <c r="IK45">
        <v>0</v>
      </c>
    </row>
    <row r="46" spans="1:255" x14ac:dyDescent="0.2">
      <c r="A46" s="2">
        <v>17</v>
      </c>
      <c r="B46" s="2">
        <v>1</v>
      </c>
      <c r="C46" s="2">
        <f>ROW(SmtRes!A117)</f>
        <v>117</v>
      </c>
      <c r="D46" s="2">
        <f>ROW(EtalonRes!A119)</f>
        <v>119</v>
      </c>
      <c r="E46" s="2" t="s">
        <v>74</v>
      </c>
      <c r="F46" s="2" t="s">
        <v>75</v>
      </c>
      <c r="G46" s="2" t="s">
        <v>76</v>
      </c>
      <c r="H46" s="2" t="s">
        <v>24</v>
      </c>
      <c r="I46" s="2">
        <f>'1.Лок.смета.и.Акт'!E130</f>
        <v>16</v>
      </c>
      <c r="J46" s="2">
        <v>0</v>
      </c>
      <c r="K46" s="2"/>
      <c r="L46" s="2"/>
      <c r="M46" s="2"/>
      <c r="N46" s="2"/>
      <c r="O46" s="2">
        <f t="shared" si="14"/>
        <v>100</v>
      </c>
      <c r="P46" s="2">
        <f t="shared" si="15"/>
        <v>17.440000000000001</v>
      </c>
      <c r="Q46" s="2">
        <f t="shared" si="16"/>
        <v>0</v>
      </c>
      <c r="R46" s="2">
        <f t="shared" si="17"/>
        <v>0</v>
      </c>
      <c r="S46" s="2">
        <f t="shared" si="18"/>
        <v>82.56</v>
      </c>
      <c r="T46" s="2">
        <f t="shared" si="19"/>
        <v>0</v>
      </c>
      <c r="U46" s="2">
        <f t="shared" si="20"/>
        <v>8.32</v>
      </c>
      <c r="V46" s="2">
        <f t="shared" si="21"/>
        <v>0</v>
      </c>
      <c r="W46" s="2">
        <f t="shared" si="22"/>
        <v>0</v>
      </c>
      <c r="X46" s="2">
        <f t="shared" si="23"/>
        <v>66.05</v>
      </c>
      <c r="Y46" s="2">
        <f t="shared" si="24"/>
        <v>49.54</v>
      </c>
      <c r="Z46" s="2"/>
      <c r="AA46" s="2">
        <v>34748518</v>
      </c>
      <c r="AB46" s="2">
        <f t="shared" si="25"/>
        <v>6.25</v>
      </c>
      <c r="AC46" s="2">
        <f t="shared" si="26"/>
        <v>1.0900000000000001</v>
      </c>
      <c r="AD46" s="2">
        <f t="shared" si="27"/>
        <v>0</v>
      </c>
      <c r="AE46" s="2">
        <f t="shared" si="28"/>
        <v>0</v>
      </c>
      <c r="AF46" s="2">
        <f t="shared" si="29"/>
        <v>5.16</v>
      </c>
      <c r="AG46" s="2">
        <f t="shared" si="30"/>
        <v>0</v>
      </c>
      <c r="AH46" s="2">
        <f t="shared" si="31"/>
        <v>0.52</v>
      </c>
      <c r="AI46" s="2">
        <f t="shared" si="32"/>
        <v>0</v>
      </c>
      <c r="AJ46" s="2">
        <f t="shared" si="33"/>
        <v>0</v>
      </c>
      <c r="AK46" s="2">
        <v>6.25</v>
      </c>
      <c r="AL46" s="2">
        <v>1.0900000000000001</v>
      </c>
      <c r="AM46" s="2">
        <v>0</v>
      </c>
      <c r="AN46" s="2">
        <v>0</v>
      </c>
      <c r="AO46" s="2">
        <v>5.16</v>
      </c>
      <c r="AP46" s="2">
        <v>0</v>
      </c>
      <c r="AQ46" s="2">
        <v>0.52</v>
      </c>
      <c r="AR46" s="2">
        <v>0</v>
      </c>
      <c r="AS46" s="2">
        <v>0</v>
      </c>
      <c r="AT46" s="2">
        <v>80</v>
      </c>
      <c r="AU46" s="2">
        <v>60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2</v>
      </c>
      <c r="BJ46" s="2" t="s">
        <v>77</v>
      </c>
      <c r="BK46" s="2"/>
      <c r="BL46" s="2"/>
      <c r="BM46" s="2">
        <v>111001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60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100</v>
      </c>
      <c r="CQ46" s="2">
        <f t="shared" si="35"/>
        <v>1.0900000000000001</v>
      </c>
      <c r="CR46" s="2">
        <f t="shared" si="36"/>
        <v>0</v>
      </c>
      <c r="CS46" s="2">
        <f t="shared" si="37"/>
        <v>0</v>
      </c>
      <c r="CT46" s="2">
        <f t="shared" si="38"/>
        <v>5.16</v>
      </c>
      <c r="CU46" s="2">
        <f t="shared" si="39"/>
        <v>0</v>
      </c>
      <c r="CV46" s="2">
        <f t="shared" si="40"/>
        <v>0.52</v>
      </c>
      <c r="CW46" s="2">
        <f t="shared" si="41"/>
        <v>0</v>
      </c>
      <c r="CX46" s="2">
        <f t="shared" si="42"/>
        <v>0</v>
      </c>
      <c r="CY46" s="2">
        <f t="shared" si="43"/>
        <v>66.048000000000002</v>
      </c>
      <c r="CZ46" s="2">
        <f t="shared" si="44"/>
        <v>49.536000000000001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24</v>
      </c>
      <c r="DW46" s="2" t="s">
        <v>24</v>
      </c>
      <c r="DX46" s="2">
        <v>1</v>
      </c>
      <c r="DY46" s="2"/>
      <c r="DZ46" s="2"/>
      <c r="EA46" s="2"/>
      <c r="EB46" s="2"/>
      <c r="EC46" s="2"/>
      <c r="ED46" s="2"/>
      <c r="EE46" s="2">
        <v>32653247</v>
      </c>
      <c r="EF46" s="2">
        <v>2</v>
      </c>
      <c r="EG46" s="2" t="s">
        <v>26</v>
      </c>
      <c r="EH46" s="2">
        <v>0</v>
      </c>
      <c r="EI46" s="2" t="s">
        <v>3</v>
      </c>
      <c r="EJ46" s="2">
        <v>2</v>
      </c>
      <c r="EK46" s="2">
        <v>111001</v>
      </c>
      <c r="EL46" s="2" t="s">
        <v>54</v>
      </c>
      <c r="EM46" s="2" t="s">
        <v>55</v>
      </c>
      <c r="EN46" s="2"/>
      <c r="EO46" s="2" t="s">
        <v>3</v>
      </c>
      <c r="EP46" s="2"/>
      <c r="EQ46" s="2">
        <v>0</v>
      </c>
      <c r="ER46" s="2">
        <v>6.25</v>
      </c>
      <c r="ES46" s="2">
        <v>1.0900000000000001</v>
      </c>
      <c r="ET46" s="2">
        <v>0</v>
      </c>
      <c r="EU46" s="2">
        <v>0</v>
      </c>
      <c r="EV46" s="2">
        <v>5.16</v>
      </c>
      <c r="EW46" s="2">
        <v>0.52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60</v>
      </c>
      <c r="FZ46" s="2"/>
      <c r="GA46" s="2" t="s">
        <v>3</v>
      </c>
      <c r="GB46" s="2"/>
      <c r="GC46" s="2"/>
      <c r="GD46" s="2">
        <v>1</v>
      </c>
      <c r="GE46" s="2"/>
      <c r="GF46" s="2">
        <v>-318110201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6"/>
        <v>0</v>
      </c>
      <c r="GM46" s="2">
        <f t="shared" si="47"/>
        <v>215.59</v>
      </c>
      <c r="GN46" s="2">
        <f t="shared" si="48"/>
        <v>0</v>
      </c>
      <c r="GO46" s="2">
        <f t="shared" si="49"/>
        <v>215.59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>
        <f t="shared" si="53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ROW(SmtRes!A120)</f>
        <v>120</v>
      </c>
      <c r="D47">
        <f>ROW(EtalonRes!A122)</f>
        <v>122</v>
      </c>
      <c r="E47" t="s">
        <v>74</v>
      </c>
      <c r="F47" t="s">
        <v>75</v>
      </c>
      <c r="G47" t="s">
        <v>76</v>
      </c>
      <c r="H47" t="s">
        <v>24</v>
      </c>
      <c r="I47">
        <f>'1.Лок.смета.и.Акт'!E130</f>
        <v>16</v>
      </c>
      <c r="J47">
        <v>0</v>
      </c>
      <c r="O47">
        <f t="shared" si="14"/>
        <v>1250</v>
      </c>
      <c r="P47">
        <f t="shared" si="15"/>
        <v>218</v>
      </c>
      <c r="Q47">
        <f t="shared" si="16"/>
        <v>0</v>
      </c>
      <c r="R47">
        <f t="shared" si="17"/>
        <v>0</v>
      </c>
      <c r="S47">
        <f t="shared" si="18"/>
        <v>1032</v>
      </c>
      <c r="T47">
        <f t="shared" si="19"/>
        <v>0</v>
      </c>
      <c r="U47">
        <f t="shared" si="20"/>
        <v>8.32</v>
      </c>
      <c r="V47">
        <f t="shared" si="21"/>
        <v>0</v>
      </c>
      <c r="W47">
        <f t="shared" si="22"/>
        <v>0</v>
      </c>
      <c r="X47">
        <f t="shared" si="23"/>
        <v>825.6</v>
      </c>
      <c r="Y47">
        <f t="shared" si="24"/>
        <v>619.20000000000005</v>
      </c>
      <c r="AA47">
        <v>34748540</v>
      </c>
      <c r="AB47">
        <f t="shared" si="25"/>
        <v>6.25</v>
      </c>
      <c r="AC47">
        <f t="shared" si="26"/>
        <v>1.0900000000000001</v>
      </c>
      <c r="AD47">
        <f t="shared" si="27"/>
        <v>0</v>
      </c>
      <c r="AE47">
        <f t="shared" si="28"/>
        <v>0</v>
      </c>
      <c r="AF47">
        <f t="shared" si="29"/>
        <v>5.16</v>
      </c>
      <c r="AG47">
        <f t="shared" si="30"/>
        <v>0</v>
      </c>
      <c r="AH47">
        <f t="shared" si="31"/>
        <v>0.52</v>
      </c>
      <c r="AI47">
        <f t="shared" si="32"/>
        <v>0</v>
      </c>
      <c r="AJ47">
        <f t="shared" si="33"/>
        <v>0</v>
      </c>
      <c r="AK47">
        <f>AL47+AM47+AO47</f>
        <v>6.25</v>
      </c>
      <c r="AL47" s="106">
        <f>'1.Лок.смета.и.Акт'!F132</f>
        <v>1.0900000000000001</v>
      </c>
      <c r="AM47">
        <v>0</v>
      </c>
      <c r="AN47">
        <v>0</v>
      </c>
      <c r="AO47" s="106">
        <f>'1.Лок.смета.и.Акт'!F131</f>
        <v>5.16</v>
      </c>
      <c r="AP47">
        <v>0</v>
      </c>
      <c r="AQ47">
        <f>'1.Лок.смета.и.Акт'!E135</f>
        <v>0.52</v>
      </c>
      <c r="AR47">
        <v>0</v>
      </c>
      <c r="AS47">
        <v>0</v>
      </c>
      <c r="AT47">
        <v>80</v>
      </c>
      <c r="AU47">
        <v>60</v>
      </c>
      <c r="AV47">
        <v>1</v>
      </c>
      <c r="AW47">
        <v>1</v>
      </c>
      <c r="AZ47">
        <v>12.5</v>
      </c>
      <c r="BA47">
        <f>'1.Лок.смета.и.Акт'!J131</f>
        <v>12.5</v>
      </c>
      <c r="BB47">
        <v>12.5</v>
      </c>
      <c r="BC47">
        <f>'1.Лок.смета.и.Акт'!J132</f>
        <v>12.5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2</v>
      </c>
      <c r="BJ47" t="s">
        <v>77</v>
      </c>
      <c r="BM47">
        <v>111001</v>
      </c>
      <c r="BN47">
        <v>0</v>
      </c>
      <c r="BO47" t="s">
        <v>3</v>
      </c>
      <c r="BP47">
        <v>0</v>
      </c>
      <c r="BQ47">
        <v>2</v>
      </c>
      <c r="BR47">
        <v>0</v>
      </c>
      <c r="BS47">
        <v>12.5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60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1250</v>
      </c>
      <c r="CQ47">
        <f t="shared" si="35"/>
        <v>13.625000000000002</v>
      </c>
      <c r="CR47">
        <f t="shared" si="36"/>
        <v>0</v>
      </c>
      <c r="CS47">
        <f t="shared" si="37"/>
        <v>0</v>
      </c>
      <c r="CT47">
        <f t="shared" si="38"/>
        <v>64.5</v>
      </c>
      <c r="CU47">
        <f t="shared" si="39"/>
        <v>0</v>
      </c>
      <c r="CV47">
        <f t="shared" si="40"/>
        <v>0.52</v>
      </c>
      <c r="CW47">
        <f t="shared" si="41"/>
        <v>0</v>
      </c>
      <c r="CX47">
        <f t="shared" si="42"/>
        <v>0</v>
      </c>
      <c r="CY47">
        <f t="shared" si="43"/>
        <v>825.6</v>
      </c>
      <c r="CZ47">
        <f t="shared" si="44"/>
        <v>619.20000000000005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24</v>
      </c>
      <c r="DW47" t="str">
        <f>'1.Лок.смета.и.Акт'!D130</f>
        <v>ШТ</v>
      </c>
      <c r="DX47">
        <v>1</v>
      </c>
      <c r="EE47">
        <v>32653247</v>
      </c>
      <c r="EF47">
        <v>2</v>
      </c>
      <c r="EG47" t="s">
        <v>26</v>
      </c>
      <c r="EH47">
        <v>0</v>
      </c>
      <c r="EI47" t="s">
        <v>3</v>
      </c>
      <c r="EJ47">
        <v>2</v>
      </c>
      <c r="EK47">
        <v>111001</v>
      </c>
      <c r="EL47" t="s">
        <v>54</v>
      </c>
      <c r="EM47" t="s">
        <v>55</v>
      </c>
      <c r="EO47" t="s">
        <v>3</v>
      </c>
      <c r="EQ47">
        <v>0</v>
      </c>
      <c r="ER47">
        <f>ES47+ET47+EV47</f>
        <v>6.25</v>
      </c>
      <c r="ES47" s="106">
        <f>'1.Лок.смета.и.Акт'!F132</f>
        <v>1.0900000000000001</v>
      </c>
      <c r="ET47">
        <v>0</v>
      </c>
      <c r="EU47">
        <v>0</v>
      </c>
      <c r="EV47" s="106">
        <f>'1.Лок.смета.и.Акт'!F131</f>
        <v>5.16</v>
      </c>
      <c r="EW47">
        <f>'1.Лок.смета.и.Акт'!E135</f>
        <v>0.52</v>
      </c>
      <c r="EX47">
        <v>0</v>
      </c>
      <c r="EY47">
        <v>0</v>
      </c>
      <c r="FQ47">
        <v>0</v>
      </c>
      <c r="FR47">
        <f t="shared" si="45"/>
        <v>0</v>
      </c>
      <c r="FS47">
        <v>0</v>
      </c>
      <c r="FX47">
        <v>80</v>
      </c>
      <c r="FY47">
        <v>60</v>
      </c>
      <c r="GA47" t="s">
        <v>3</v>
      </c>
      <c r="GD47">
        <v>1</v>
      </c>
      <c r="GF47">
        <v>-318110201</v>
      </c>
      <c r="GG47">
        <v>1</v>
      </c>
      <c r="GH47">
        <v>1</v>
      </c>
      <c r="GI47">
        <v>4</v>
      </c>
      <c r="GJ47">
        <v>0</v>
      </c>
      <c r="GK47">
        <v>0</v>
      </c>
      <c r="GL47">
        <f t="shared" si="46"/>
        <v>0</v>
      </c>
      <c r="GM47">
        <f t="shared" si="47"/>
        <v>2694.8</v>
      </c>
      <c r="GN47">
        <f t="shared" si="48"/>
        <v>0</v>
      </c>
      <c r="GO47">
        <f t="shared" si="49"/>
        <v>2694.8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F47">
        <v>-1</v>
      </c>
      <c r="IK47">
        <v>0</v>
      </c>
    </row>
    <row r="48" spans="1:255" x14ac:dyDescent="0.2">
      <c r="A48" s="2">
        <v>17</v>
      </c>
      <c r="B48" s="2">
        <v>1</v>
      </c>
      <c r="C48" s="2">
        <f>ROW(SmtRes!A125)</f>
        <v>125</v>
      </c>
      <c r="D48" s="2">
        <f>ROW(EtalonRes!A127)</f>
        <v>127</v>
      </c>
      <c r="E48" s="2" t="s">
        <v>78</v>
      </c>
      <c r="F48" s="2" t="s">
        <v>79</v>
      </c>
      <c r="G48" s="2" t="s">
        <v>80</v>
      </c>
      <c r="H48" s="2" t="s">
        <v>81</v>
      </c>
      <c r="I48" s="2">
        <f>'1.Лок.смета.и.Акт'!E137</f>
        <v>1</v>
      </c>
      <c r="J48" s="2">
        <v>0</v>
      </c>
      <c r="K48" s="2"/>
      <c r="L48" s="2"/>
      <c r="M48" s="2"/>
      <c r="N48" s="2"/>
      <c r="O48" s="2">
        <f t="shared" si="14"/>
        <v>1815.02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1815.02</v>
      </c>
      <c r="T48" s="2">
        <f t="shared" si="19"/>
        <v>0</v>
      </c>
      <c r="U48" s="2">
        <f t="shared" si="20"/>
        <v>128</v>
      </c>
      <c r="V48" s="2">
        <f t="shared" si="21"/>
        <v>0</v>
      </c>
      <c r="W48" s="2">
        <f t="shared" si="22"/>
        <v>0</v>
      </c>
      <c r="X48" s="2">
        <f t="shared" si="23"/>
        <v>1179.76</v>
      </c>
      <c r="Y48" s="2">
        <f t="shared" si="24"/>
        <v>726.01</v>
      </c>
      <c r="Z48" s="2"/>
      <c r="AA48" s="2">
        <v>34748518</v>
      </c>
      <c r="AB48" s="2">
        <f t="shared" si="25"/>
        <v>1815.02</v>
      </c>
      <c r="AC48" s="2">
        <f t="shared" si="26"/>
        <v>0</v>
      </c>
      <c r="AD48" s="2">
        <f t="shared" si="27"/>
        <v>0</v>
      </c>
      <c r="AE48" s="2">
        <f t="shared" si="28"/>
        <v>0</v>
      </c>
      <c r="AF48" s="2">
        <f t="shared" si="29"/>
        <v>1815.02</v>
      </c>
      <c r="AG48" s="2">
        <f t="shared" si="30"/>
        <v>0</v>
      </c>
      <c r="AH48" s="2">
        <f t="shared" si="31"/>
        <v>128</v>
      </c>
      <c r="AI48" s="2">
        <f t="shared" si="32"/>
        <v>0</v>
      </c>
      <c r="AJ48" s="2">
        <f t="shared" si="33"/>
        <v>0</v>
      </c>
      <c r="AK48" s="2">
        <v>1815.02</v>
      </c>
      <c r="AL48" s="2">
        <v>0</v>
      </c>
      <c r="AM48" s="2">
        <v>0</v>
      </c>
      <c r="AN48" s="2">
        <v>0</v>
      </c>
      <c r="AO48" s="2">
        <v>1815.02</v>
      </c>
      <c r="AP48" s="2">
        <v>0</v>
      </c>
      <c r="AQ48" s="2">
        <v>128</v>
      </c>
      <c r="AR48" s="2">
        <v>0</v>
      </c>
      <c r="AS48" s="2">
        <v>0</v>
      </c>
      <c r="AT48" s="2">
        <v>65</v>
      </c>
      <c r="AU48" s="2">
        <v>40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4</v>
      </c>
      <c r="BJ48" s="2" t="s">
        <v>82</v>
      </c>
      <c r="BK48" s="2"/>
      <c r="BL48" s="2"/>
      <c r="BM48" s="2">
        <v>200001</v>
      </c>
      <c r="BN48" s="2">
        <v>0</v>
      </c>
      <c r="BO48" s="2" t="s">
        <v>3</v>
      </c>
      <c r="BP48" s="2">
        <v>0</v>
      </c>
      <c r="BQ48" s="2">
        <v>5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65</v>
      </c>
      <c r="CA48" s="2">
        <v>40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1815.02</v>
      </c>
      <c r="CQ48" s="2">
        <f t="shared" si="35"/>
        <v>0</v>
      </c>
      <c r="CR48" s="2">
        <f t="shared" si="36"/>
        <v>0</v>
      </c>
      <c r="CS48" s="2">
        <f t="shared" si="37"/>
        <v>0</v>
      </c>
      <c r="CT48" s="2">
        <f t="shared" si="38"/>
        <v>1815.02</v>
      </c>
      <c r="CU48" s="2">
        <f t="shared" si="39"/>
        <v>0</v>
      </c>
      <c r="CV48" s="2">
        <f t="shared" si="40"/>
        <v>128</v>
      </c>
      <c r="CW48" s="2">
        <f t="shared" si="41"/>
        <v>0</v>
      </c>
      <c r="CX48" s="2">
        <f t="shared" si="42"/>
        <v>0</v>
      </c>
      <c r="CY48" s="2">
        <f t="shared" si="43"/>
        <v>1179.7629999999999</v>
      </c>
      <c r="CZ48" s="2">
        <f t="shared" si="44"/>
        <v>726.00800000000004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81</v>
      </c>
      <c r="DW48" s="2" t="s">
        <v>81</v>
      </c>
      <c r="DX48" s="2">
        <v>1</v>
      </c>
      <c r="DY48" s="2"/>
      <c r="DZ48" s="2"/>
      <c r="EA48" s="2"/>
      <c r="EB48" s="2"/>
      <c r="EC48" s="2"/>
      <c r="ED48" s="2"/>
      <c r="EE48" s="2">
        <v>32653283</v>
      </c>
      <c r="EF48" s="2">
        <v>5</v>
      </c>
      <c r="EG48" s="2" t="s">
        <v>33</v>
      </c>
      <c r="EH48" s="2">
        <v>0</v>
      </c>
      <c r="EI48" s="2" t="s">
        <v>3</v>
      </c>
      <c r="EJ48" s="2">
        <v>4</v>
      </c>
      <c r="EK48" s="2">
        <v>200001</v>
      </c>
      <c r="EL48" s="2" t="s">
        <v>34</v>
      </c>
      <c r="EM48" s="2" t="s">
        <v>35</v>
      </c>
      <c r="EN48" s="2"/>
      <c r="EO48" s="2" t="s">
        <v>3</v>
      </c>
      <c r="EP48" s="2"/>
      <c r="EQ48" s="2">
        <v>0</v>
      </c>
      <c r="ER48" s="2">
        <v>1815.02</v>
      </c>
      <c r="ES48" s="2">
        <v>0</v>
      </c>
      <c r="ET48" s="2">
        <v>0</v>
      </c>
      <c r="EU48" s="2">
        <v>0</v>
      </c>
      <c r="EV48" s="2">
        <v>1815.02</v>
      </c>
      <c r="EW48" s="2">
        <v>128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65</v>
      </c>
      <c r="FY48" s="2">
        <v>40</v>
      </c>
      <c r="FZ48" s="2"/>
      <c r="GA48" s="2" t="s">
        <v>3</v>
      </c>
      <c r="GB48" s="2"/>
      <c r="GC48" s="2"/>
      <c r="GD48" s="2">
        <v>1</v>
      </c>
      <c r="GE48" s="2"/>
      <c r="GF48" s="2">
        <v>1056999210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6"/>
        <v>0</v>
      </c>
      <c r="GM48" s="2">
        <f t="shared" si="47"/>
        <v>3720.79</v>
      </c>
      <c r="GN48" s="2">
        <f t="shared" si="48"/>
        <v>0</v>
      </c>
      <c r="GO48" s="2">
        <f t="shared" si="49"/>
        <v>0</v>
      </c>
      <c r="GP48" s="2">
        <f t="shared" si="50"/>
        <v>3720.79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>
        <f t="shared" si="53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ROW(SmtRes!A130)</f>
        <v>130</v>
      </c>
      <c r="D49">
        <f>ROW(EtalonRes!A132)</f>
        <v>132</v>
      </c>
      <c r="E49" t="s">
        <v>78</v>
      </c>
      <c r="F49" t="s">
        <v>79</v>
      </c>
      <c r="G49" t="s">
        <v>80</v>
      </c>
      <c r="H49" t="s">
        <v>81</v>
      </c>
      <c r="I49">
        <f>'1.Лок.смета.и.Акт'!E137</f>
        <v>1</v>
      </c>
      <c r="J49">
        <v>0</v>
      </c>
      <c r="O49">
        <f t="shared" si="14"/>
        <v>33214.870000000003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33214.870000000003</v>
      </c>
      <c r="T49">
        <f t="shared" si="19"/>
        <v>0</v>
      </c>
      <c r="U49">
        <f t="shared" si="20"/>
        <v>128</v>
      </c>
      <c r="V49">
        <f t="shared" si="21"/>
        <v>0</v>
      </c>
      <c r="W49">
        <f t="shared" si="22"/>
        <v>0</v>
      </c>
      <c r="X49">
        <f t="shared" si="23"/>
        <v>21589.67</v>
      </c>
      <c r="Y49">
        <f t="shared" si="24"/>
        <v>13285.95</v>
      </c>
      <c r="AA49">
        <v>34748540</v>
      </c>
      <c r="AB49">
        <f t="shared" si="25"/>
        <v>1815.02</v>
      </c>
      <c r="AC49">
        <f t="shared" si="26"/>
        <v>0</v>
      </c>
      <c r="AD49">
        <f t="shared" si="27"/>
        <v>0</v>
      </c>
      <c r="AE49">
        <f t="shared" si="28"/>
        <v>0</v>
      </c>
      <c r="AF49">
        <f t="shared" si="29"/>
        <v>1815.02</v>
      </c>
      <c r="AG49">
        <f t="shared" si="30"/>
        <v>0</v>
      </c>
      <c r="AH49">
        <f t="shared" si="31"/>
        <v>128</v>
      </c>
      <c r="AI49">
        <f t="shared" si="32"/>
        <v>0</v>
      </c>
      <c r="AJ49">
        <f t="shared" si="33"/>
        <v>0</v>
      </c>
      <c r="AK49">
        <f>AL49+AM49+AO49</f>
        <v>1815.02</v>
      </c>
      <c r="AL49">
        <v>0</v>
      </c>
      <c r="AM49">
        <v>0</v>
      </c>
      <c r="AN49">
        <v>0</v>
      </c>
      <c r="AO49" s="106">
        <f>'1.Лок.смета.и.Акт'!F138</f>
        <v>1815.02</v>
      </c>
      <c r="AP49">
        <v>0</v>
      </c>
      <c r="AQ49">
        <f>'1.Лок.смета.и.Акт'!E141</f>
        <v>128</v>
      </c>
      <c r="AR49">
        <v>0</v>
      </c>
      <c r="AS49">
        <v>0</v>
      </c>
      <c r="AT49">
        <v>65</v>
      </c>
      <c r="AU49">
        <v>40</v>
      </c>
      <c r="AV49">
        <v>1</v>
      </c>
      <c r="AW49">
        <v>1</v>
      </c>
      <c r="AZ49">
        <v>18.3</v>
      </c>
      <c r="BA49">
        <f>'1.Лок.смета.и.Акт'!J138</f>
        <v>18.3</v>
      </c>
      <c r="BB49">
        <v>18.3</v>
      </c>
      <c r="BC49">
        <v>18.3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4</v>
      </c>
      <c r="BJ49" t="s">
        <v>82</v>
      </c>
      <c r="BM49">
        <v>200001</v>
      </c>
      <c r="BN49">
        <v>0</v>
      </c>
      <c r="BO49" t="s">
        <v>3</v>
      </c>
      <c r="BP49">
        <v>0</v>
      </c>
      <c r="BQ49">
        <v>5</v>
      </c>
      <c r="BR49">
        <v>0</v>
      </c>
      <c r="BS49"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65</v>
      </c>
      <c r="CA49">
        <v>40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33214.870000000003</v>
      </c>
      <c r="CQ49">
        <f t="shared" si="35"/>
        <v>0</v>
      </c>
      <c r="CR49">
        <f t="shared" si="36"/>
        <v>0</v>
      </c>
      <c r="CS49">
        <f t="shared" si="37"/>
        <v>0</v>
      </c>
      <c r="CT49">
        <f t="shared" si="38"/>
        <v>33214.866000000002</v>
      </c>
      <c r="CU49">
        <f t="shared" si="39"/>
        <v>0</v>
      </c>
      <c r="CV49">
        <f t="shared" si="40"/>
        <v>128</v>
      </c>
      <c r="CW49">
        <f t="shared" si="41"/>
        <v>0</v>
      </c>
      <c r="CX49">
        <f t="shared" si="42"/>
        <v>0</v>
      </c>
      <c r="CY49">
        <f t="shared" si="43"/>
        <v>21589.665500000003</v>
      </c>
      <c r="CZ49">
        <f t="shared" si="44"/>
        <v>13285.948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81</v>
      </c>
      <c r="DW49" t="str">
        <f>'1.Лок.смета.и.Акт'!D137</f>
        <v>система</v>
      </c>
      <c r="DX49">
        <v>1</v>
      </c>
      <c r="EE49">
        <v>32653283</v>
      </c>
      <c r="EF49">
        <v>5</v>
      </c>
      <c r="EG49" t="s">
        <v>33</v>
      </c>
      <c r="EH49">
        <v>0</v>
      </c>
      <c r="EI49" t="s">
        <v>3</v>
      </c>
      <c r="EJ49">
        <v>4</v>
      </c>
      <c r="EK49">
        <v>200001</v>
      </c>
      <c r="EL49" t="s">
        <v>34</v>
      </c>
      <c r="EM49" t="s">
        <v>35</v>
      </c>
      <c r="EO49" t="s">
        <v>3</v>
      </c>
      <c r="EQ49">
        <v>0</v>
      </c>
      <c r="ER49">
        <f>ES49+ET49+EV49</f>
        <v>1815.02</v>
      </c>
      <c r="ES49">
        <v>0</v>
      </c>
      <c r="ET49">
        <v>0</v>
      </c>
      <c r="EU49">
        <v>0</v>
      </c>
      <c r="EV49" s="106">
        <f>'1.Лок.смета.и.Акт'!F138</f>
        <v>1815.02</v>
      </c>
      <c r="EW49">
        <f>'1.Лок.смета.и.Акт'!E141</f>
        <v>128</v>
      </c>
      <c r="EX49">
        <v>0</v>
      </c>
      <c r="EY49">
        <v>0</v>
      </c>
      <c r="FQ49">
        <v>0</v>
      </c>
      <c r="FR49">
        <f t="shared" si="45"/>
        <v>0</v>
      </c>
      <c r="FS49">
        <v>0</v>
      </c>
      <c r="FX49">
        <v>65</v>
      </c>
      <c r="FY49">
        <v>40</v>
      </c>
      <c r="GA49" t="s">
        <v>3</v>
      </c>
      <c r="GD49">
        <v>1</v>
      </c>
      <c r="GF49">
        <v>1056999210</v>
      </c>
      <c r="GG49">
        <v>1</v>
      </c>
      <c r="GH49">
        <v>1</v>
      </c>
      <c r="GI49">
        <v>4</v>
      </c>
      <c r="GJ49">
        <v>0</v>
      </c>
      <c r="GK49">
        <v>0</v>
      </c>
      <c r="GL49">
        <f t="shared" si="46"/>
        <v>0</v>
      </c>
      <c r="GM49">
        <f t="shared" si="47"/>
        <v>68090.490000000005</v>
      </c>
      <c r="GN49">
        <f t="shared" si="48"/>
        <v>0</v>
      </c>
      <c r="GO49">
        <f t="shared" si="49"/>
        <v>0</v>
      </c>
      <c r="GP49">
        <f t="shared" si="50"/>
        <v>68090.490000000005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>
        <f>ROW(SmtRes!A135)</f>
        <v>135</v>
      </c>
      <c r="D50" s="2">
        <f>ROW(EtalonRes!A137)</f>
        <v>137</v>
      </c>
      <c r="E50" s="2" t="s">
        <v>83</v>
      </c>
      <c r="F50" s="2" t="s">
        <v>84</v>
      </c>
      <c r="G50" s="2" t="s">
        <v>85</v>
      </c>
      <c r="H50" s="2" t="s">
        <v>86</v>
      </c>
      <c r="I50" s="2">
        <f>'1.Лок.смета.и.Акт'!E143</f>
        <v>14</v>
      </c>
      <c r="J50" s="2">
        <v>0</v>
      </c>
      <c r="K50" s="2"/>
      <c r="L50" s="2"/>
      <c r="M50" s="2"/>
      <c r="N50" s="2"/>
      <c r="O50" s="2">
        <f t="shared" si="14"/>
        <v>1220.8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1220.8</v>
      </c>
      <c r="T50" s="2">
        <f t="shared" si="19"/>
        <v>0</v>
      </c>
      <c r="U50" s="2">
        <f t="shared" si="20"/>
        <v>86.100000000000009</v>
      </c>
      <c r="V50" s="2">
        <f t="shared" si="21"/>
        <v>0</v>
      </c>
      <c r="W50" s="2">
        <f t="shared" si="22"/>
        <v>0</v>
      </c>
      <c r="X50" s="2">
        <f t="shared" si="23"/>
        <v>793.52</v>
      </c>
      <c r="Y50" s="2">
        <f t="shared" si="24"/>
        <v>488.32</v>
      </c>
      <c r="Z50" s="2"/>
      <c r="AA50" s="2">
        <v>34748518</v>
      </c>
      <c r="AB50" s="2">
        <f t="shared" si="25"/>
        <v>87.2</v>
      </c>
      <c r="AC50" s="2">
        <f t="shared" si="26"/>
        <v>0</v>
      </c>
      <c r="AD50" s="2">
        <f t="shared" si="27"/>
        <v>0</v>
      </c>
      <c r="AE50" s="2">
        <f t="shared" si="28"/>
        <v>0</v>
      </c>
      <c r="AF50" s="2">
        <f t="shared" si="29"/>
        <v>87.2</v>
      </c>
      <c r="AG50" s="2">
        <f t="shared" si="30"/>
        <v>0</v>
      </c>
      <c r="AH50" s="2">
        <f t="shared" si="31"/>
        <v>6.15</v>
      </c>
      <c r="AI50" s="2">
        <f t="shared" si="32"/>
        <v>0</v>
      </c>
      <c r="AJ50" s="2">
        <f t="shared" si="33"/>
        <v>0</v>
      </c>
      <c r="AK50" s="2">
        <v>87.2</v>
      </c>
      <c r="AL50" s="2">
        <v>0</v>
      </c>
      <c r="AM50" s="2">
        <v>0</v>
      </c>
      <c r="AN50" s="2">
        <v>0</v>
      </c>
      <c r="AO50" s="2">
        <v>87.2</v>
      </c>
      <c r="AP50" s="2">
        <v>0</v>
      </c>
      <c r="AQ50" s="2">
        <v>6.15</v>
      </c>
      <c r="AR50" s="2">
        <v>0</v>
      </c>
      <c r="AS50" s="2">
        <v>0</v>
      </c>
      <c r="AT50" s="2">
        <v>65</v>
      </c>
      <c r="AU50" s="2">
        <v>40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4</v>
      </c>
      <c r="BJ50" s="2" t="s">
        <v>87</v>
      </c>
      <c r="BK50" s="2"/>
      <c r="BL50" s="2"/>
      <c r="BM50" s="2">
        <v>200001</v>
      </c>
      <c r="BN50" s="2">
        <v>0</v>
      </c>
      <c r="BO50" s="2" t="s">
        <v>3</v>
      </c>
      <c r="BP50" s="2">
        <v>0</v>
      </c>
      <c r="BQ50" s="2">
        <v>5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65</v>
      </c>
      <c r="CA50" s="2">
        <v>40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1220.8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87.2</v>
      </c>
      <c r="CU50" s="2">
        <f t="shared" si="39"/>
        <v>0</v>
      </c>
      <c r="CV50" s="2">
        <f t="shared" si="40"/>
        <v>6.15</v>
      </c>
      <c r="CW50" s="2">
        <f t="shared" si="41"/>
        <v>0</v>
      </c>
      <c r="CX50" s="2">
        <f t="shared" si="42"/>
        <v>0</v>
      </c>
      <c r="CY50" s="2">
        <f t="shared" si="43"/>
        <v>793.52</v>
      </c>
      <c r="CZ50" s="2">
        <f t="shared" si="44"/>
        <v>488.32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86</v>
      </c>
      <c r="DW50" s="2" t="s">
        <v>86</v>
      </c>
      <c r="DX50" s="2">
        <v>1</v>
      </c>
      <c r="DY50" s="2"/>
      <c r="DZ50" s="2"/>
      <c r="EA50" s="2"/>
      <c r="EB50" s="2"/>
      <c r="EC50" s="2"/>
      <c r="ED50" s="2"/>
      <c r="EE50" s="2">
        <v>32653283</v>
      </c>
      <c r="EF50" s="2">
        <v>5</v>
      </c>
      <c r="EG50" s="2" t="s">
        <v>33</v>
      </c>
      <c r="EH50" s="2">
        <v>0</v>
      </c>
      <c r="EI50" s="2" t="s">
        <v>3</v>
      </c>
      <c r="EJ50" s="2">
        <v>4</v>
      </c>
      <c r="EK50" s="2">
        <v>200001</v>
      </c>
      <c r="EL50" s="2" t="s">
        <v>34</v>
      </c>
      <c r="EM50" s="2" t="s">
        <v>35</v>
      </c>
      <c r="EN50" s="2"/>
      <c r="EO50" s="2" t="s">
        <v>3</v>
      </c>
      <c r="EP50" s="2"/>
      <c r="EQ50" s="2">
        <v>0</v>
      </c>
      <c r="ER50" s="2">
        <v>87.2</v>
      </c>
      <c r="ES50" s="2">
        <v>0</v>
      </c>
      <c r="ET50" s="2">
        <v>0</v>
      </c>
      <c r="EU50" s="2">
        <v>0</v>
      </c>
      <c r="EV50" s="2">
        <v>87.2</v>
      </c>
      <c r="EW50" s="2">
        <v>6.15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65</v>
      </c>
      <c r="FY50" s="2">
        <v>40</v>
      </c>
      <c r="FZ50" s="2"/>
      <c r="GA50" s="2" t="s">
        <v>3</v>
      </c>
      <c r="GB50" s="2"/>
      <c r="GC50" s="2"/>
      <c r="GD50" s="2">
        <v>1</v>
      </c>
      <c r="GE50" s="2"/>
      <c r="GF50" s="2">
        <v>2064975765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6"/>
        <v>0</v>
      </c>
      <c r="GM50" s="2">
        <f t="shared" si="47"/>
        <v>2502.64</v>
      </c>
      <c r="GN50" s="2">
        <f t="shared" si="48"/>
        <v>0</v>
      </c>
      <c r="GO50" s="2">
        <f t="shared" si="49"/>
        <v>0</v>
      </c>
      <c r="GP50" s="2">
        <f t="shared" si="50"/>
        <v>2502.64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>
        <f t="shared" si="53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ROW(SmtRes!A140)</f>
        <v>140</v>
      </c>
      <c r="D51">
        <f>ROW(EtalonRes!A142)</f>
        <v>142</v>
      </c>
      <c r="E51" t="s">
        <v>83</v>
      </c>
      <c r="F51" t="s">
        <v>84</v>
      </c>
      <c r="G51" t="s">
        <v>85</v>
      </c>
      <c r="H51" t="s">
        <v>86</v>
      </c>
      <c r="I51">
        <f>'1.Лок.смета.и.Акт'!E143</f>
        <v>14</v>
      </c>
      <c r="J51">
        <v>0</v>
      </c>
      <c r="O51">
        <f t="shared" si="14"/>
        <v>22340.639999999999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22340.639999999999</v>
      </c>
      <c r="T51">
        <f t="shared" si="19"/>
        <v>0</v>
      </c>
      <c r="U51">
        <f t="shared" si="20"/>
        <v>86.100000000000009</v>
      </c>
      <c r="V51">
        <f t="shared" si="21"/>
        <v>0</v>
      </c>
      <c r="W51">
        <f t="shared" si="22"/>
        <v>0</v>
      </c>
      <c r="X51">
        <f t="shared" si="23"/>
        <v>14521.42</v>
      </c>
      <c r="Y51">
        <f t="shared" si="24"/>
        <v>8936.26</v>
      </c>
      <c r="AA51">
        <v>34748540</v>
      </c>
      <c r="AB51">
        <f t="shared" si="25"/>
        <v>87.2</v>
      </c>
      <c r="AC51">
        <f t="shared" si="26"/>
        <v>0</v>
      </c>
      <c r="AD51">
        <f t="shared" si="27"/>
        <v>0</v>
      </c>
      <c r="AE51">
        <f t="shared" si="28"/>
        <v>0</v>
      </c>
      <c r="AF51">
        <f t="shared" si="29"/>
        <v>87.2</v>
      </c>
      <c r="AG51">
        <f t="shared" si="30"/>
        <v>0</v>
      </c>
      <c r="AH51">
        <f t="shared" si="31"/>
        <v>6.15</v>
      </c>
      <c r="AI51">
        <f t="shared" si="32"/>
        <v>0</v>
      </c>
      <c r="AJ51">
        <f t="shared" si="33"/>
        <v>0</v>
      </c>
      <c r="AK51">
        <f>AL51+AM51+AO51</f>
        <v>87.2</v>
      </c>
      <c r="AL51">
        <v>0</v>
      </c>
      <c r="AM51">
        <v>0</v>
      </c>
      <c r="AN51">
        <v>0</v>
      </c>
      <c r="AO51" s="106">
        <f>'1.Лок.смета.и.Акт'!F144</f>
        <v>87.2</v>
      </c>
      <c r="AP51">
        <v>0</v>
      </c>
      <c r="AQ51">
        <f>'1.Лок.смета.и.Акт'!E147</f>
        <v>6.15</v>
      </c>
      <c r="AR51">
        <v>0</v>
      </c>
      <c r="AS51">
        <v>0</v>
      </c>
      <c r="AT51">
        <v>65</v>
      </c>
      <c r="AU51">
        <v>40</v>
      </c>
      <c r="AV51">
        <v>1</v>
      </c>
      <c r="AW51">
        <v>1</v>
      </c>
      <c r="AZ51">
        <v>18.3</v>
      </c>
      <c r="BA51">
        <f>'1.Лок.смета.и.Акт'!J144</f>
        <v>18.3</v>
      </c>
      <c r="BB51">
        <v>18.3</v>
      </c>
      <c r="BC51">
        <v>18.3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4</v>
      </c>
      <c r="BJ51" t="s">
        <v>87</v>
      </c>
      <c r="BM51">
        <v>200001</v>
      </c>
      <c r="BN51">
        <v>0</v>
      </c>
      <c r="BO51" t="s">
        <v>3</v>
      </c>
      <c r="BP51">
        <v>0</v>
      </c>
      <c r="BQ51">
        <v>5</v>
      </c>
      <c r="BR51">
        <v>0</v>
      </c>
      <c r="BS51"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65</v>
      </c>
      <c r="CA51">
        <v>40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22340.639999999999</v>
      </c>
      <c r="CQ51">
        <f t="shared" si="35"/>
        <v>0</v>
      </c>
      <c r="CR51">
        <f t="shared" si="36"/>
        <v>0</v>
      </c>
      <c r="CS51">
        <f t="shared" si="37"/>
        <v>0</v>
      </c>
      <c r="CT51">
        <f t="shared" si="38"/>
        <v>1595.7600000000002</v>
      </c>
      <c r="CU51">
        <f t="shared" si="39"/>
        <v>0</v>
      </c>
      <c r="CV51">
        <f t="shared" si="40"/>
        <v>6.15</v>
      </c>
      <c r="CW51">
        <f t="shared" si="41"/>
        <v>0</v>
      </c>
      <c r="CX51">
        <f t="shared" si="42"/>
        <v>0</v>
      </c>
      <c r="CY51">
        <f t="shared" si="43"/>
        <v>14521.415999999999</v>
      </c>
      <c r="CZ51">
        <f t="shared" si="44"/>
        <v>8936.2559999999994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86</v>
      </c>
      <c r="DW51" t="str">
        <f>'1.Лок.смета.и.Акт'!D143</f>
        <v>канал</v>
      </c>
      <c r="DX51">
        <v>1</v>
      </c>
      <c r="EE51">
        <v>32653283</v>
      </c>
      <c r="EF51">
        <v>5</v>
      </c>
      <c r="EG51" t="s">
        <v>33</v>
      </c>
      <c r="EH51">
        <v>0</v>
      </c>
      <c r="EI51" t="s">
        <v>3</v>
      </c>
      <c r="EJ51">
        <v>4</v>
      </c>
      <c r="EK51">
        <v>200001</v>
      </c>
      <c r="EL51" t="s">
        <v>34</v>
      </c>
      <c r="EM51" t="s">
        <v>35</v>
      </c>
      <c r="EO51" t="s">
        <v>3</v>
      </c>
      <c r="EQ51">
        <v>0</v>
      </c>
      <c r="ER51">
        <f>ES51+ET51+EV51</f>
        <v>87.2</v>
      </c>
      <c r="ES51">
        <v>0</v>
      </c>
      <c r="ET51">
        <v>0</v>
      </c>
      <c r="EU51">
        <v>0</v>
      </c>
      <c r="EV51" s="106">
        <f>'1.Лок.смета.и.Акт'!F144</f>
        <v>87.2</v>
      </c>
      <c r="EW51">
        <f>'1.Лок.смета.и.Акт'!E147</f>
        <v>6.15</v>
      </c>
      <c r="EX51">
        <v>0</v>
      </c>
      <c r="EY51">
        <v>0</v>
      </c>
      <c r="FQ51">
        <v>0</v>
      </c>
      <c r="FR51">
        <f t="shared" si="45"/>
        <v>0</v>
      </c>
      <c r="FS51">
        <v>0</v>
      </c>
      <c r="FX51">
        <v>65</v>
      </c>
      <c r="FY51">
        <v>40</v>
      </c>
      <c r="GA51" t="s">
        <v>3</v>
      </c>
      <c r="GD51">
        <v>1</v>
      </c>
      <c r="GF51">
        <v>2064975765</v>
      </c>
      <c r="GG51">
        <v>1</v>
      </c>
      <c r="GH51">
        <v>1</v>
      </c>
      <c r="GI51">
        <v>4</v>
      </c>
      <c r="GJ51">
        <v>0</v>
      </c>
      <c r="GK51">
        <v>0</v>
      </c>
      <c r="GL51">
        <f t="shared" si="46"/>
        <v>0</v>
      </c>
      <c r="GM51">
        <f t="shared" si="47"/>
        <v>45798.32</v>
      </c>
      <c r="GN51">
        <f t="shared" si="48"/>
        <v>0</v>
      </c>
      <c r="GO51">
        <f t="shared" si="49"/>
        <v>0</v>
      </c>
      <c r="GP51">
        <f t="shared" si="50"/>
        <v>45798.32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F51">
        <v>-1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88</v>
      </c>
      <c r="F52" s="2" t="s">
        <v>89</v>
      </c>
      <c r="G52" s="2" t="s">
        <v>90</v>
      </c>
      <c r="H52" s="2" t="s">
        <v>24</v>
      </c>
      <c r="I52" s="2">
        <f>'1.Лок.смета.и.Акт'!E149</f>
        <v>2</v>
      </c>
      <c r="J52" s="2">
        <v>0</v>
      </c>
      <c r="K52" s="2"/>
      <c r="L52" s="2"/>
      <c r="M52" s="2"/>
      <c r="N52" s="2"/>
      <c r="O52" s="2">
        <f t="shared" si="14"/>
        <v>10412</v>
      </c>
      <c r="P52" s="2">
        <f t="shared" si="15"/>
        <v>10412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34748518</v>
      </c>
      <c r="AB52" s="2">
        <f t="shared" si="25"/>
        <v>5206</v>
      </c>
      <c r="AC52" s="2">
        <f t="shared" si="26"/>
        <v>5206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5206</v>
      </c>
      <c r="AL52" s="2">
        <v>5206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10412</v>
      </c>
      <c r="CQ52" s="2">
        <f t="shared" si="35"/>
        <v>5206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24</v>
      </c>
      <c r="DW52" s="2" t="s">
        <v>24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91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92</v>
      </c>
      <c r="EM52" s="2" t="s">
        <v>93</v>
      </c>
      <c r="EN52" s="2"/>
      <c r="EO52" s="2" t="s">
        <v>3</v>
      </c>
      <c r="EP52" s="2"/>
      <c r="EQ52" s="2">
        <v>0</v>
      </c>
      <c r="ER52" s="2">
        <v>0</v>
      </c>
      <c r="ES52" s="2">
        <v>5206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1</v>
      </c>
      <c r="GE52" s="2"/>
      <c r="GF52" s="2">
        <v>664397943</v>
      </c>
      <c r="GG52" s="2">
        <v>2</v>
      </c>
      <c r="GH52" s="2">
        <v>4</v>
      </c>
      <c r="GI52" s="2">
        <v>-2</v>
      </c>
      <c r="GJ52" s="2">
        <v>0</v>
      </c>
      <c r="GK52" s="2">
        <v>0</v>
      </c>
      <c r="GL52" s="2">
        <f t="shared" si="46"/>
        <v>0</v>
      </c>
      <c r="GM52" s="2">
        <f t="shared" si="47"/>
        <v>10412</v>
      </c>
      <c r="GN52" s="2">
        <f t="shared" si="48"/>
        <v>10412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>
        <f t="shared" si="53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88</v>
      </c>
      <c r="F53" t="str">
        <f>'1.Лок.смета.и.Акт'!B149</f>
        <v>Прайс-лист</v>
      </c>
      <c r="G53" t="str">
        <f>'1.Лок.смета.и.Акт'!C149</f>
        <v>Счётчик электрический многофункциональный Binom 309i У3.57</v>
      </c>
      <c r="H53" t="s">
        <v>24</v>
      </c>
      <c r="I53">
        <f>'1.Лок.смета.и.Акт'!E149</f>
        <v>2</v>
      </c>
      <c r="J53">
        <v>0</v>
      </c>
      <c r="O53">
        <f t="shared" si="14"/>
        <v>130150</v>
      </c>
      <c r="P53">
        <f t="shared" si="15"/>
        <v>130150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34748540</v>
      </c>
      <c r="AB53">
        <f t="shared" si="25"/>
        <v>5206</v>
      </c>
      <c r="AC53">
        <f t="shared" si="26"/>
        <v>5206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5206</v>
      </c>
      <c r="AL53" s="106">
        <f>'1.Лок.смета.и.Акт'!F149</f>
        <v>5206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12.5</v>
      </c>
      <c r="BA53">
        <v>1</v>
      </c>
      <c r="BB53">
        <v>1</v>
      </c>
      <c r="BC53">
        <f>'1.Лок.смета.и.Акт'!J149</f>
        <v>12.5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130150</v>
      </c>
      <c r="CQ53">
        <f t="shared" si="35"/>
        <v>65075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24</v>
      </c>
      <c r="DW53" t="str">
        <f>'1.Лок.смета.и.Акт'!D149</f>
        <v>ШТ</v>
      </c>
      <c r="DX53">
        <v>1</v>
      </c>
      <c r="EE53">
        <v>32653538</v>
      </c>
      <c r="EF53">
        <v>20</v>
      </c>
      <c r="EG53" t="s">
        <v>91</v>
      </c>
      <c r="EH53">
        <v>0</v>
      </c>
      <c r="EI53" t="s">
        <v>3</v>
      </c>
      <c r="EJ53">
        <v>1</v>
      </c>
      <c r="EK53">
        <v>1100</v>
      </c>
      <c r="EL53" t="s">
        <v>92</v>
      </c>
      <c r="EM53" t="s">
        <v>93</v>
      </c>
      <c r="EO53" t="s">
        <v>3</v>
      </c>
      <c r="EQ53">
        <v>0</v>
      </c>
      <c r="ER53">
        <v>5206</v>
      </c>
      <c r="ES53" s="106">
        <f>'1.Лок.смета.и.Акт'!F149</f>
        <v>5206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63799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94</v>
      </c>
      <c r="GD53">
        <v>1</v>
      </c>
      <c r="GF53">
        <v>664397943</v>
      </c>
      <c r="GG53">
        <v>1</v>
      </c>
      <c r="GH53">
        <v>3</v>
      </c>
      <c r="GI53">
        <v>4</v>
      </c>
      <c r="GJ53">
        <v>0</v>
      </c>
      <c r="GK53">
        <v>0</v>
      </c>
      <c r="GL53">
        <f t="shared" si="46"/>
        <v>0</v>
      </c>
      <c r="GM53">
        <f t="shared" si="47"/>
        <v>130150</v>
      </c>
      <c r="GN53">
        <f t="shared" si="48"/>
        <v>130150</v>
      </c>
      <c r="GO53">
        <f t="shared" si="49"/>
        <v>0</v>
      </c>
      <c r="GP53">
        <f t="shared" si="50"/>
        <v>0</v>
      </c>
      <c r="GR53">
        <v>1</v>
      </c>
      <c r="GS53">
        <v>1</v>
      </c>
      <c r="GT53">
        <v>0</v>
      </c>
      <c r="GU53" t="s">
        <v>3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89</v>
      </c>
      <c r="G54" s="2" t="s">
        <v>96</v>
      </c>
      <c r="H54" s="2" t="s">
        <v>24</v>
      </c>
      <c r="I54" s="2">
        <f>'1.Лок.смета.и.Акт'!E152</f>
        <v>6</v>
      </c>
      <c r="J54" s="2">
        <v>0</v>
      </c>
      <c r="K54" s="2"/>
      <c r="L54" s="2"/>
      <c r="M54" s="2"/>
      <c r="N54" s="2"/>
      <c r="O54" s="2">
        <f t="shared" si="14"/>
        <v>190.62</v>
      </c>
      <c r="P54" s="2">
        <f t="shared" si="15"/>
        <v>190.62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34748518</v>
      </c>
      <c r="AB54" s="2">
        <f t="shared" si="25"/>
        <v>31.77</v>
      </c>
      <c r="AC54" s="2">
        <f t="shared" si="26"/>
        <v>31.77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31.77</v>
      </c>
      <c r="AL54" s="2">
        <v>31.77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190.62</v>
      </c>
      <c r="CQ54" s="2">
        <f t="shared" si="35"/>
        <v>31.77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24</v>
      </c>
      <c r="DW54" s="2" t="s">
        <v>24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91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92</v>
      </c>
      <c r="EM54" s="2" t="s">
        <v>93</v>
      </c>
      <c r="EN54" s="2"/>
      <c r="EO54" s="2" t="s">
        <v>3</v>
      </c>
      <c r="EP54" s="2"/>
      <c r="EQ54" s="2">
        <v>0</v>
      </c>
      <c r="ER54" s="2">
        <v>0</v>
      </c>
      <c r="ES54" s="2">
        <v>31.77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97</v>
      </c>
      <c r="GB54" s="2"/>
      <c r="GC54" s="2"/>
      <c r="GD54" s="2">
        <v>1</v>
      </c>
      <c r="GE54" s="2"/>
      <c r="GF54" s="2">
        <v>1431582737</v>
      </c>
      <c r="GG54" s="2">
        <v>2</v>
      </c>
      <c r="GH54" s="2">
        <v>4</v>
      </c>
      <c r="GI54" s="2">
        <v>-2</v>
      </c>
      <c r="GJ54" s="2">
        <v>0</v>
      </c>
      <c r="GK54" s="2">
        <v>0</v>
      </c>
      <c r="GL54" s="2">
        <f t="shared" si="46"/>
        <v>0</v>
      </c>
      <c r="GM54" s="2">
        <f t="shared" si="47"/>
        <v>190.62</v>
      </c>
      <c r="GN54" s="2">
        <f t="shared" si="48"/>
        <v>190.62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>
        <f t="shared" si="53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'1.Лок.смета.и.Акт'!B152</f>
        <v>Прайс-лист</v>
      </c>
      <c r="G55" t="str">
        <f>'1.Лок.смета.и.Акт'!C152</f>
        <v>Трансформатор тока Т-0,66 Ва 200/5</v>
      </c>
      <c r="H55" t="s">
        <v>24</v>
      </c>
      <c r="I55">
        <f>'1.Лок.смета.и.Акт'!E152</f>
        <v>6</v>
      </c>
      <c r="J55">
        <v>0</v>
      </c>
      <c r="O55">
        <f t="shared" si="14"/>
        <v>2382.75</v>
      </c>
      <c r="P55">
        <f t="shared" si="15"/>
        <v>2382.75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34748540</v>
      </c>
      <c r="AB55">
        <f t="shared" si="25"/>
        <v>31.77</v>
      </c>
      <c r="AC55">
        <f t="shared" si="26"/>
        <v>31.77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31.77</v>
      </c>
      <c r="AL55" s="106">
        <f>'1.Лок.смета.и.Акт'!F152</f>
        <v>31.77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12.5</v>
      </c>
      <c r="BA55">
        <v>1</v>
      </c>
      <c r="BB55">
        <v>1</v>
      </c>
      <c r="BC55">
        <f>'1.Лок.смета.и.Акт'!J152</f>
        <v>12.5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2382.75</v>
      </c>
      <c r="CQ55">
        <f t="shared" si="35"/>
        <v>397.125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24</v>
      </c>
      <c r="DW55" t="str">
        <f>'1.Лок.смета.и.Акт'!D152</f>
        <v>ШТ</v>
      </c>
      <c r="DX55">
        <v>1</v>
      </c>
      <c r="EE55">
        <v>32653538</v>
      </c>
      <c r="EF55">
        <v>20</v>
      </c>
      <c r="EG55" t="s">
        <v>91</v>
      </c>
      <c r="EH55">
        <v>0</v>
      </c>
      <c r="EI55" t="s">
        <v>3</v>
      </c>
      <c r="EJ55">
        <v>1</v>
      </c>
      <c r="EK55">
        <v>1100</v>
      </c>
      <c r="EL55" t="s">
        <v>92</v>
      </c>
      <c r="EM55" t="s">
        <v>93</v>
      </c>
      <c r="EO55" t="s">
        <v>3</v>
      </c>
      <c r="EQ55">
        <v>0</v>
      </c>
      <c r="ER55">
        <v>31.77</v>
      </c>
      <c r="ES55" s="106">
        <f>'1.Лок.смета.и.Акт'!F152</f>
        <v>31.77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389.38</v>
      </c>
      <c r="FQ55">
        <v>0</v>
      </c>
      <c r="FR55">
        <f t="shared" si="45"/>
        <v>0</v>
      </c>
      <c r="FS55">
        <v>0</v>
      </c>
      <c r="FX55">
        <v>0</v>
      </c>
      <c r="FY55">
        <v>0</v>
      </c>
      <c r="GA55" t="s">
        <v>97</v>
      </c>
      <c r="GD55">
        <v>1</v>
      </c>
      <c r="GF55">
        <v>1431582737</v>
      </c>
      <c r="GG55">
        <v>1</v>
      </c>
      <c r="GH55">
        <v>3</v>
      </c>
      <c r="GI55">
        <v>4</v>
      </c>
      <c r="GJ55">
        <v>0</v>
      </c>
      <c r="GK55">
        <v>0</v>
      </c>
      <c r="GL55">
        <f t="shared" si="46"/>
        <v>0</v>
      </c>
      <c r="GM55">
        <f t="shared" si="47"/>
        <v>2382.75</v>
      </c>
      <c r="GN55">
        <f t="shared" si="48"/>
        <v>2382.75</v>
      </c>
      <c r="GO55">
        <f t="shared" si="49"/>
        <v>0</v>
      </c>
      <c r="GP55">
        <f t="shared" si="50"/>
        <v>0</v>
      </c>
      <c r="GR55">
        <v>1</v>
      </c>
      <c r="GS55">
        <v>1</v>
      </c>
      <c r="GT55">
        <v>0</v>
      </c>
      <c r="GU55" t="s">
        <v>3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F55">
        <v>-1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98</v>
      </c>
      <c r="F56" s="2" t="s">
        <v>89</v>
      </c>
      <c r="G56" s="2" t="s">
        <v>99</v>
      </c>
      <c r="H56" s="2" t="s">
        <v>24</v>
      </c>
      <c r="I56" s="2">
        <f>'1.Лок.смета.и.Акт'!E155</f>
        <v>2</v>
      </c>
      <c r="J56" s="2">
        <v>0</v>
      </c>
      <c r="K56" s="2"/>
      <c r="L56" s="2"/>
      <c r="M56" s="2"/>
      <c r="N56" s="2"/>
      <c r="O56" s="2">
        <f t="shared" ref="O56:O81" si="54">ROUND(CP56,2)</f>
        <v>2687.24</v>
      </c>
      <c r="P56" s="2">
        <f t="shared" ref="P56:P81" si="55">ROUND(CQ56*I56,2)</f>
        <v>2687.24</v>
      </c>
      <c r="Q56" s="2">
        <f t="shared" ref="Q56:Q81" si="56">ROUND(CR56*I56,2)</f>
        <v>0</v>
      </c>
      <c r="R56" s="2">
        <f t="shared" ref="R56:R81" si="57">ROUND(CS56*I56,2)</f>
        <v>0</v>
      </c>
      <c r="S56" s="2">
        <f t="shared" ref="S56:S81" si="58">ROUND(CT56*I56,2)</f>
        <v>0</v>
      </c>
      <c r="T56" s="2">
        <f t="shared" ref="T56:T81" si="59">ROUND(CU56*I56,2)</f>
        <v>0</v>
      </c>
      <c r="U56" s="2">
        <f t="shared" ref="U56:U81" si="60">CV56*I56</f>
        <v>0</v>
      </c>
      <c r="V56" s="2">
        <f t="shared" ref="V56:V81" si="61">CW56*I56</f>
        <v>0</v>
      </c>
      <c r="W56" s="2">
        <f t="shared" ref="W56:W81" si="62">ROUND(CX56*I56,2)</f>
        <v>0</v>
      </c>
      <c r="X56" s="2">
        <f t="shared" ref="X56:X81" si="63">ROUND(CY56,2)</f>
        <v>0</v>
      </c>
      <c r="Y56" s="2">
        <f t="shared" ref="Y56:Y81" si="64">ROUND(CZ56,2)</f>
        <v>0</v>
      </c>
      <c r="Z56" s="2"/>
      <c r="AA56" s="2">
        <v>34748518</v>
      </c>
      <c r="AB56" s="2">
        <f t="shared" ref="AB56:AB81" si="65">ROUND((AC56+AD56+AF56),2)</f>
        <v>1343.62</v>
      </c>
      <c r="AC56" s="2">
        <f t="shared" ref="AC56:AC81" si="66">ROUND((ES56),2)</f>
        <v>1343.62</v>
      </c>
      <c r="AD56" s="2">
        <f t="shared" ref="AD56:AD81" si="67">ROUND((((ET56)-(EU56))+AE56),2)</f>
        <v>0</v>
      </c>
      <c r="AE56" s="2">
        <f t="shared" ref="AE56:AE81" si="68">ROUND((EU56),2)</f>
        <v>0</v>
      </c>
      <c r="AF56" s="2">
        <f t="shared" ref="AF56:AF81" si="69">ROUND((EV56),2)</f>
        <v>0</v>
      </c>
      <c r="AG56" s="2">
        <f t="shared" ref="AG56:AG81" si="70">ROUND((AP56),2)</f>
        <v>0</v>
      </c>
      <c r="AH56" s="2">
        <f t="shared" ref="AH56:AH81" si="71">(EW56)</f>
        <v>0</v>
      </c>
      <c r="AI56" s="2">
        <f t="shared" ref="AI56:AI81" si="72">(EX56)</f>
        <v>0</v>
      </c>
      <c r="AJ56" s="2">
        <f t="shared" ref="AJ56:AJ81" si="73">(AS56)</f>
        <v>0</v>
      </c>
      <c r="AK56" s="2">
        <v>1343.62</v>
      </c>
      <c r="AL56" s="2">
        <v>1343.62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1" si="74">(P56+Q56+S56)</f>
        <v>2687.24</v>
      </c>
      <c r="CQ56" s="2">
        <f t="shared" ref="CQ56:CQ81" si="75">AC56*BC56</f>
        <v>1343.62</v>
      </c>
      <c r="CR56" s="2">
        <f t="shared" ref="CR56:CR81" si="76">AD56*BB56</f>
        <v>0</v>
      </c>
      <c r="CS56" s="2">
        <f t="shared" ref="CS56:CS81" si="77">AE56*BS56</f>
        <v>0</v>
      </c>
      <c r="CT56" s="2">
        <f t="shared" ref="CT56:CT81" si="78">AF56*BA56</f>
        <v>0</v>
      </c>
      <c r="CU56" s="2">
        <f t="shared" ref="CU56:CU81" si="79">AG56</f>
        <v>0</v>
      </c>
      <c r="CV56" s="2">
        <f t="shared" ref="CV56:CV81" si="80">AH56</f>
        <v>0</v>
      </c>
      <c r="CW56" s="2">
        <f t="shared" ref="CW56:CW81" si="81">AI56</f>
        <v>0</v>
      </c>
      <c r="CX56" s="2">
        <f t="shared" ref="CX56:CX81" si="82">AJ56</f>
        <v>0</v>
      </c>
      <c r="CY56" s="2">
        <f t="shared" ref="CY56:CY81" si="83">(((S56+(R56*IF(0,0,1)))*AT56)/100)</f>
        <v>0</v>
      </c>
      <c r="CZ56" s="2">
        <f t="shared" ref="CZ56:CZ81" si="84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24</v>
      </c>
      <c r="DW56" s="2" t="s">
        <v>24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91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92</v>
      </c>
      <c r="EM56" s="2" t="s">
        <v>93</v>
      </c>
      <c r="EN56" s="2"/>
      <c r="EO56" s="2" t="s">
        <v>3</v>
      </c>
      <c r="EP56" s="2"/>
      <c r="EQ56" s="2">
        <v>0</v>
      </c>
      <c r="ER56" s="2">
        <v>0</v>
      </c>
      <c r="ES56" s="2">
        <v>1343.62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1" si="85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100</v>
      </c>
      <c r="GB56" s="2"/>
      <c r="GC56" s="2"/>
      <c r="GD56" s="2">
        <v>1</v>
      </c>
      <c r="GE56" s="2"/>
      <c r="GF56" s="2">
        <v>-1151895036</v>
      </c>
      <c r="GG56" s="2">
        <v>2</v>
      </c>
      <c r="GH56" s="2">
        <v>4</v>
      </c>
      <c r="GI56" s="2">
        <v>-2</v>
      </c>
      <c r="GJ56" s="2">
        <v>0</v>
      </c>
      <c r="GK56" s="2">
        <v>0</v>
      </c>
      <c r="GL56" s="2">
        <f t="shared" ref="GL56:GL81" si="86">ROUND(IF(AND(BH56=3,BI56=3,FS56&lt;&gt;0),P56,0),2)</f>
        <v>0</v>
      </c>
      <c r="GM56" s="2">
        <f t="shared" ref="GM56:GM81" si="87">ROUND(O56+X56+Y56,2)+GX56</f>
        <v>2687.24</v>
      </c>
      <c r="GN56" s="2">
        <f t="shared" ref="GN56:GN81" si="88">IF(OR(BI56=0,BI56=1),ROUND(O56+X56+Y56,2),0)</f>
        <v>2687.24</v>
      </c>
      <c r="GO56" s="2">
        <f t="shared" ref="GO56:GO81" si="89">IF(BI56=2,ROUND(O56+X56+Y56,2),0)</f>
        <v>0</v>
      </c>
      <c r="GP56" s="2">
        <f t="shared" ref="GP56:GP81" si="90">IF(BI56=4,ROUND(O56+X56+Y56,2)+GX56,0)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81" si="91">ROUND((GT56),2)</f>
        <v>0</v>
      </c>
      <c r="GW56" s="2">
        <v>1</v>
      </c>
      <c r="GX56" s="2">
        <f t="shared" ref="GX56:GX81" si="92">ROUND(HC56*I56,2)</f>
        <v>0</v>
      </c>
      <c r="GY56" s="2"/>
      <c r="GZ56" s="2"/>
      <c r="HA56" s="2">
        <v>0</v>
      </c>
      <c r="HB56" s="2">
        <v>0</v>
      </c>
      <c r="HC56" s="2">
        <f t="shared" ref="HC56:HC81" si="93">GV56*GW56</f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98</v>
      </c>
      <c r="F57" t="str">
        <f>'1.Лок.смета.и.Акт'!B155</f>
        <v>Прайс-лист</v>
      </c>
      <c r="G57" t="str">
        <f>'1.Лок.смета.и.Акт'!C155</f>
        <v>Трансформатор напряжения</v>
      </c>
      <c r="H57" t="s">
        <v>24</v>
      </c>
      <c r="I57">
        <f>'1.Лок.смета.и.Акт'!E155</f>
        <v>2</v>
      </c>
      <c r="J57">
        <v>0</v>
      </c>
      <c r="O57">
        <f t="shared" si="54"/>
        <v>33590.5</v>
      </c>
      <c r="P57">
        <f t="shared" si="55"/>
        <v>33590.5</v>
      </c>
      <c r="Q57">
        <f t="shared" si="56"/>
        <v>0</v>
      </c>
      <c r="R57">
        <f t="shared" si="57"/>
        <v>0</v>
      </c>
      <c r="S57">
        <f t="shared" si="58"/>
        <v>0</v>
      </c>
      <c r="T57">
        <f t="shared" si="59"/>
        <v>0</v>
      </c>
      <c r="U57">
        <f t="shared" si="60"/>
        <v>0</v>
      </c>
      <c r="V57">
        <f t="shared" si="61"/>
        <v>0</v>
      </c>
      <c r="W57">
        <f t="shared" si="62"/>
        <v>0</v>
      </c>
      <c r="X57">
        <f t="shared" si="63"/>
        <v>0</v>
      </c>
      <c r="Y57">
        <f t="shared" si="64"/>
        <v>0</v>
      </c>
      <c r="AA57">
        <v>34748540</v>
      </c>
      <c r="AB57">
        <f t="shared" si="65"/>
        <v>1343.62</v>
      </c>
      <c r="AC57">
        <f t="shared" si="66"/>
        <v>1343.62</v>
      </c>
      <c r="AD57">
        <f t="shared" si="67"/>
        <v>0</v>
      </c>
      <c r="AE57">
        <f t="shared" si="68"/>
        <v>0</v>
      </c>
      <c r="AF57">
        <f t="shared" si="69"/>
        <v>0</v>
      </c>
      <c r="AG57">
        <f t="shared" si="70"/>
        <v>0</v>
      </c>
      <c r="AH57">
        <f t="shared" si="71"/>
        <v>0</v>
      </c>
      <c r="AI57">
        <f t="shared" si="72"/>
        <v>0</v>
      </c>
      <c r="AJ57">
        <f t="shared" si="73"/>
        <v>0</v>
      </c>
      <c r="AK57">
        <v>1343.62</v>
      </c>
      <c r="AL57" s="106">
        <f>'1.Лок.смета.и.Акт'!F155</f>
        <v>1343.62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12.5</v>
      </c>
      <c r="BA57">
        <v>1</v>
      </c>
      <c r="BB57">
        <v>1</v>
      </c>
      <c r="BC57">
        <f>'1.Лок.смета.и.Акт'!J155</f>
        <v>12.5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4"/>
        <v>33590.5</v>
      </c>
      <c r="CQ57">
        <f t="shared" si="75"/>
        <v>16795.25</v>
      </c>
      <c r="CR57">
        <f t="shared" si="76"/>
        <v>0</v>
      </c>
      <c r="CS57">
        <f t="shared" si="77"/>
        <v>0</v>
      </c>
      <c r="CT57">
        <f t="shared" si="78"/>
        <v>0</v>
      </c>
      <c r="CU57">
        <f t="shared" si="79"/>
        <v>0</v>
      </c>
      <c r="CV57">
        <f t="shared" si="80"/>
        <v>0</v>
      </c>
      <c r="CW57">
        <f t="shared" si="81"/>
        <v>0</v>
      </c>
      <c r="CX57">
        <f t="shared" si="82"/>
        <v>0</v>
      </c>
      <c r="CY57">
        <f t="shared" si="83"/>
        <v>0</v>
      </c>
      <c r="CZ57">
        <f t="shared" si="84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24</v>
      </c>
      <c r="DW57" t="str">
        <f>'1.Лок.смета.и.Акт'!D155</f>
        <v>ШТ</v>
      </c>
      <c r="DX57">
        <v>1</v>
      </c>
      <c r="EE57">
        <v>32653538</v>
      </c>
      <c r="EF57">
        <v>20</v>
      </c>
      <c r="EG57" t="s">
        <v>91</v>
      </c>
      <c r="EH57">
        <v>0</v>
      </c>
      <c r="EI57" t="s">
        <v>3</v>
      </c>
      <c r="EJ57">
        <v>1</v>
      </c>
      <c r="EK57">
        <v>1100</v>
      </c>
      <c r="EL57" t="s">
        <v>92</v>
      </c>
      <c r="EM57" t="s">
        <v>93</v>
      </c>
      <c r="EO57" t="s">
        <v>3</v>
      </c>
      <c r="EQ57">
        <v>0</v>
      </c>
      <c r="ER57">
        <v>1343.62</v>
      </c>
      <c r="ES57" s="106">
        <f>'1.Лок.смета.и.Акт'!F155</f>
        <v>1343.62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16465.830000000002</v>
      </c>
      <c r="FQ57">
        <v>0</v>
      </c>
      <c r="FR57">
        <f t="shared" si="85"/>
        <v>0</v>
      </c>
      <c r="FS57">
        <v>0</v>
      </c>
      <c r="FX57">
        <v>0</v>
      </c>
      <c r="FY57">
        <v>0</v>
      </c>
      <c r="GA57" t="s">
        <v>100</v>
      </c>
      <c r="GD57">
        <v>1</v>
      </c>
      <c r="GF57">
        <v>-1151895036</v>
      </c>
      <c r="GG57">
        <v>1</v>
      </c>
      <c r="GH57">
        <v>3</v>
      </c>
      <c r="GI57">
        <v>4</v>
      </c>
      <c r="GJ57">
        <v>0</v>
      </c>
      <c r="GK57">
        <v>0</v>
      </c>
      <c r="GL57">
        <f t="shared" si="86"/>
        <v>0</v>
      </c>
      <c r="GM57">
        <f t="shared" si="87"/>
        <v>33590.5</v>
      </c>
      <c r="GN57">
        <f t="shared" si="88"/>
        <v>33590.5</v>
      </c>
      <c r="GO57">
        <f t="shared" si="89"/>
        <v>0</v>
      </c>
      <c r="GP57">
        <f t="shared" si="90"/>
        <v>0</v>
      </c>
      <c r="GR57">
        <v>1</v>
      </c>
      <c r="GS57">
        <v>1</v>
      </c>
      <c r="GT57">
        <v>0</v>
      </c>
      <c r="GU57" t="s">
        <v>3</v>
      </c>
      <c r="GV57">
        <f t="shared" si="91"/>
        <v>0</v>
      </c>
      <c r="GW57">
        <v>1</v>
      </c>
      <c r="GX57">
        <f t="shared" si="92"/>
        <v>0</v>
      </c>
      <c r="HA57">
        <v>0</v>
      </c>
      <c r="HB57">
        <v>0</v>
      </c>
      <c r="HC57">
        <f t="shared" si="93"/>
        <v>0</v>
      </c>
      <c r="IF57">
        <v>-1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101</v>
      </c>
      <c r="F58" s="2" t="s">
        <v>89</v>
      </c>
      <c r="G58" s="2" t="s">
        <v>102</v>
      </c>
      <c r="H58" s="2" t="s">
        <v>24</v>
      </c>
      <c r="I58" s="2">
        <f>'1.Лок.смета.и.Акт'!E158</f>
        <v>2</v>
      </c>
      <c r="J58" s="2">
        <v>0</v>
      </c>
      <c r="K58" s="2"/>
      <c r="L58" s="2"/>
      <c r="M58" s="2"/>
      <c r="N58" s="2"/>
      <c r="O58" s="2">
        <f t="shared" si="54"/>
        <v>0.7</v>
      </c>
      <c r="P58" s="2">
        <f t="shared" si="55"/>
        <v>0.7</v>
      </c>
      <c r="Q58" s="2">
        <f t="shared" si="56"/>
        <v>0</v>
      </c>
      <c r="R58" s="2">
        <f t="shared" si="57"/>
        <v>0</v>
      </c>
      <c r="S58" s="2">
        <f t="shared" si="58"/>
        <v>0</v>
      </c>
      <c r="T58" s="2">
        <f t="shared" si="59"/>
        <v>0</v>
      </c>
      <c r="U58" s="2">
        <f t="shared" si="60"/>
        <v>0</v>
      </c>
      <c r="V58" s="2">
        <f t="shared" si="61"/>
        <v>0</v>
      </c>
      <c r="W58" s="2">
        <f t="shared" si="62"/>
        <v>0</v>
      </c>
      <c r="X58" s="2">
        <f t="shared" si="63"/>
        <v>0</v>
      </c>
      <c r="Y58" s="2">
        <f t="shared" si="64"/>
        <v>0</v>
      </c>
      <c r="Z58" s="2"/>
      <c r="AA58" s="2">
        <v>34748518</v>
      </c>
      <c r="AB58" s="2">
        <f t="shared" si="65"/>
        <v>0.35</v>
      </c>
      <c r="AC58" s="2">
        <f t="shared" si="66"/>
        <v>0.35</v>
      </c>
      <c r="AD58" s="2">
        <f t="shared" si="67"/>
        <v>0</v>
      </c>
      <c r="AE58" s="2">
        <f t="shared" si="68"/>
        <v>0</v>
      </c>
      <c r="AF58" s="2">
        <f t="shared" si="69"/>
        <v>0</v>
      </c>
      <c r="AG58" s="2">
        <f t="shared" si="70"/>
        <v>0</v>
      </c>
      <c r="AH58" s="2">
        <f t="shared" si="71"/>
        <v>0</v>
      </c>
      <c r="AI58" s="2">
        <f t="shared" si="72"/>
        <v>0</v>
      </c>
      <c r="AJ58" s="2">
        <f t="shared" si="73"/>
        <v>0</v>
      </c>
      <c r="AK58" s="2">
        <v>0.35000000000000003</v>
      </c>
      <c r="AL58" s="2">
        <v>0.35000000000000003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4"/>
        <v>0.7</v>
      </c>
      <c r="CQ58" s="2">
        <f t="shared" si="75"/>
        <v>0.35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24</v>
      </c>
      <c r="DW58" s="2" t="s">
        <v>24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91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92</v>
      </c>
      <c r="EM58" s="2" t="s">
        <v>93</v>
      </c>
      <c r="EN58" s="2"/>
      <c r="EO58" s="2" t="s">
        <v>3</v>
      </c>
      <c r="EP58" s="2"/>
      <c r="EQ58" s="2">
        <v>0</v>
      </c>
      <c r="ER58" s="2">
        <v>0</v>
      </c>
      <c r="ES58" s="2">
        <v>0.35000000000000003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103</v>
      </c>
      <c r="GB58" s="2"/>
      <c r="GC58" s="2"/>
      <c r="GD58" s="2">
        <v>1</v>
      </c>
      <c r="GE58" s="2"/>
      <c r="GF58" s="2">
        <v>-559683454</v>
      </c>
      <c r="GG58" s="2">
        <v>2</v>
      </c>
      <c r="GH58" s="2">
        <v>4</v>
      </c>
      <c r="GI58" s="2">
        <v>-2</v>
      </c>
      <c r="GJ58" s="2">
        <v>0</v>
      </c>
      <c r="GK58" s="2">
        <v>0</v>
      </c>
      <c r="GL58" s="2">
        <f t="shared" si="86"/>
        <v>0</v>
      </c>
      <c r="GM58" s="2">
        <f t="shared" si="87"/>
        <v>0.7</v>
      </c>
      <c r="GN58" s="2">
        <f t="shared" si="88"/>
        <v>0.7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>
        <f t="shared" si="93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101</v>
      </c>
      <c r="F59" t="str">
        <f>'1.Лок.смета.и.Акт'!B158</f>
        <v>Прайс-лист</v>
      </c>
      <c r="G59" t="str">
        <f>'1.Лок.смета.и.Акт'!C158</f>
        <v>Din-рейка 60 см</v>
      </c>
      <c r="H59" t="s">
        <v>24</v>
      </c>
      <c r="I59">
        <f>'1.Лок.смета.и.Акт'!E158</f>
        <v>2</v>
      </c>
      <c r="J59">
        <v>0</v>
      </c>
      <c r="O59">
        <f t="shared" si="54"/>
        <v>8.75</v>
      </c>
      <c r="P59">
        <f t="shared" si="55"/>
        <v>8.75</v>
      </c>
      <c r="Q59">
        <f t="shared" si="56"/>
        <v>0</v>
      </c>
      <c r="R59">
        <f t="shared" si="57"/>
        <v>0</v>
      </c>
      <c r="S59">
        <f t="shared" si="58"/>
        <v>0</v>
      </c>
      <c r="T59">
        <f t="shared" si="59"/>
        <v>0</v>
      </c>
      <c r="U59">
        <f t="shared" si="60"/>
        <v>0</v>
      </c>
      <c r="V59">
        <f t="shared" si="61"/>
        <v>0</v>
      </c>
      <c r="W59">
        <f t="shared" si="62"/>
        <v>0</v>
      </c>
      <c r="X59">
        <f t="shared" si="63"/>
        <v>0</v>
      </c>
      <c r="Y59">
        <f t="shared" si="64"/>
        <v>0</v>
      </c>
      <c r="AA59">
        <v>34748540</v>
      </c>
      <c r="AB59">
        <f t="shared" si="65"/>
        <v>0.35</v>
      </c>
      <c r="AC59">
        <f t="shared" si="66"/>
        <v>0.35</v>
      </c>
      <c r="AD59">
        <f t="shared" si="67"/>
        <v>0</v>
      </c>
      <c r="AE59">
        <f t="shared" si="68"/>
        <v>0</v>
      </c>
      <c r="AF59">
        <f t="shared" si="69"/>
        <v>0</v>
      </c>
      <c r="AG59">
        <f t="shared" si="70"/>
        <v>0</v>
      </c>
      <c r="AH59">
        <f t="shared" si="71"/>
        <v>0</v>
      </c>
      <c r="AI59">
        <f t="shared" si="72"/>
        <v>0</v>
      </c>
      <c r="AJ59">
        <f t="shared" si="73"/>
        <v>0</v>
      </c>
      <c r="AK59">
        <v>0.35000000000000003</v>
      </c>
      <c r="AL59" s="106">
        <f>'1.Лок.смета.и.Акт'!F158</f>
        <v>0.35000000000000003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12.5</v>
      </c>
      <c r="BA59">
        <v>1</v>
      </c>
      <c r="BB59">
        <v>1</v>
      </c>
      <c r="BC59">
        <f>'1.Лок.смета.и.Акт'!J158</f>
        <v>12.5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4"/>
        <v>8.75</v>
      </c>
      <c r="CQ59">
        <f t="shared" si="75"/>
        <v>4.375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24</v>
      </c>
      <c r="DW59" t="str">
        <f>'1.Лок.смета.и.Акт'!D158</f>
        <v>ШТ</v>
      </c>
      <c r="DX59">
        <v>1</v>
      </c>
      <c r="EE59">
        <v>32653538</v>
      </c>
      <c r="EF59">
        <v>20</v>
      </c>
      <c r="EG59" t="s">
        <v>91</v>
      </c>
      <c r="EH59">
        <v>0</v>
      </c>
      <c r="EI59" t="s">
        <v>3</v>
      </c>
      <c r="EJ59">
        <v>1</v>
      </c>
      <c r="EK59">
        <v>1100</v>
      </c>
      <c r="EL59" t="s">
        <v>92</v>
      </c>
      <c r="EM59" t="s">
        <v>93</v>
      </c>
      <c r="EO59" t="s">
        <v>3</v>
      </c>
      <c r="EQ59">
        <v>0</v>
      </c>
      <c r="ER59">
        <v>0.57999999999999996</v>
      </c>
      <c r="ES59" s="106">
        <f>'1.Лок.смета.и.Акт'!F158</f>
        <v>0.35000000000000003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4.29</v>
      </c>
      <c r="FQ59">
        <v>0</v>
      </c>
      <c r="FR59">
        <f t="shared" si="85"/>
        <v>0</v>
      </c>
      <c r="FS59">
        <v>0</v>
      </c>
      <c r="FX59">
        <v>0</v>
      </c>
      <c r="FY59">
        <v>0</v>
      </c>
      <c r="GA59" t="s">
        <v>103</v>
      </c>
      <c r="GD59">
        <v>1</v>
      </c>
      <c r="GF59">
        <v>-559683454</v>
      </c>
      <c r="GG59">
        <v>1</v>
      </c>
      <c r="GH59">
        <v>3</v>
      </c>
      <c r="GI59">
        <v>4</v>
      </c>
      <c r="GJ59">
        <v>0</v>
      </c>
      <c r="GK59">
        <v>0</v>
      </c>
      <c r="GL59">
        <f t="shared" si="86"/>
        <v>0</v>
      </c>
      <c r="GM59">
        <f t="shared" si="87"/>
        <v>8.75</v>
      </c>
      <c r="GN59">
        <f t="shared" si="88"/>
        <v>8.75</v>
      </c>
      <c r="GO59">
        <f t="shared" si="89"/>
        <v>0</v>
      </c>
      <c r="GP59">
        <f t="shared" si="90"/>
        <v>0</v>
      </c>
      <c r="GR59">
        <v>1</v>
      </c>
      <c r="GS59">
        <v>1</v>
      </c>
      <c r="GT59">
        <v>0</v>
      </c>
      <c r="GU59" t="s">
        <v>3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HC59">
        <f t="shared" si="93"/>
        <v>0</v>
      </c>
      <c r="IF59">
        <v>-1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104</v>
      </c>
      <c r="F60" s="2" t="s">
        <v>89</v>
      </c>
      <c r="G60" s="2" t="s">
        <v>105</v>
      </c>
      <c r="H60" s="2" t="s">
        <v>24</v>
      </c>
      <c r="I60" s="2">
        <f>'1.Лок.смета.и.Акт'!E161</f>
        <v>2</v>
      </c>
      <c r="J60" s="2">
        <v>0</v>
      </c>
      <c r="K60" s="2"/>
      <c r="L60" s="2"/>
      <c r="M60" s="2"/>
      <c r="N60" s="2"/>
      <c r="O60" s="2">
        <f t="shared" si="54"/>
        <v>1224</v>
      </c>
      <c r="P60" s="2">
        <f t="shared" si="55"/>
        <v>1224</v>
      </c>
      <c r="Q60" s="2">
        <f t="shared" si="56"/>
        <v>0</v>
      </c>
      <c r="R60" s="2">
        <f t="shared" si="57"/>
        <v>0</v>
      </c>
      <c r="S60" s="2">
        <f t="shared" si="58"/>
        <v>0</v>
      </c>
      <c r="T60" s="2">
        <f t="shared" si="59"/>
        <v>0</v>
      </c>
      <c r="U60" s="2">
        <f t="shared" si="60"/>
        <v>0</v>
      </c>
      <c r="V60" s="2">
        <f t="shared" si="61"/>
        <v>0</v>
      </c>
      <c r="W60" s="2">
        <f t="shared" si="62"/>
        <v>0</v>
      </c>
      <c r="X60" s="2">
        <f t="shared" si="63"/>
        <v>0</v>
      </c>
      <c r="Y60" s="2">
        <f t="shared" si="64"/>
        <v>0</v>
      </c>
      <c r="Z60" s="2"/>
      <c r="AA60" s="2">
        <v>34748518</v>
      </c>
      <c r="AB60" s="2">
        <f t="shared" si="65"/>
        <v>612</v>
      </c>
      <c r="AC60" s="2">
        <f t="shared" si="66"/>
        <v>612</v>
      </c>
      <c r="AD60" s="2">
        <f t="shared" si="67"/>
        <v>0</v>
      </c>
      <c r="AE60" s="2">
        <f t="shared" si="68"/>
        <v>0</v>
      </c>
      <c r="AF60" s="2">
        <f t="shared" si="69"/>
        <v>0</v>
      </c>
      <c r="AG60" s="2">
        <f t="shared" si="70"/>
        <v>0</v>
      </c>
      <c r="AH60" s="2">
        <f t="shared" si="71"/>
        <v>0</v>
      </c>
      <c r="AI60" s="2">
        <f t="shared" si="72"/>
        <v>0</v>
      </c>
      <c r="AJ60" s="2">
        <f t="shared" si="73"/>
        <v>0</v>
      </c>
      <c r="AK60" s="2">
        <v>612</v>
      </c>
      <c r="AL60" s="2">
        <v>612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4"/>
        <v>1224</v>
      </c>
      <c r="CQ60" s="2">
        <f t="shared" si="75"/>
        <v>612</v>
      </c>
      <c r="CR60" s="2">
        <f t="shared" si="76"/>
        <v>0</v>
      </c>
      <c r="CS60" s="2">
        <f t="shared" si="77"/>
        <v>0</v>
      </c>
      <c r="CT60" s="2">
        <f t="shared" si="78"/>
        <v>0</v>
      </c>
      <c r="CU60" s="2">
        <f t="shared" si="79"/>
        <v>0</v>
      </c>
      <c r="CV60" s="2">
        <f t="shared" si="80"/>
        <v>0</v>
      </c>
      <c r="CW60" s="2">
        <f t="shared" si="81"/>
        <v>0</v>
      </c>
      <c r="CX60" s="2">
        <f t="shared" si="82"/>
        <v>0</v>
      </c>
      <c r="CY60" s="2">
        <f t="shared" si="83"/>
        <v>0</v>
      </c>
      <c r="CZ60" s="2">
        <f t="shared" si="84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24</v>
      </c>
      <c r="DW60" s="2" t="s">
        <v>24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91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92</v>
      </c>
      <c r="EM60" s="2" t="s">
        <v>93</v>
      </c>
      <c r="EN60" s="2"/>
      <c r="EO60" s="2" t="s">
        <v>3</v>
      </c>
      <c r="EP60" s="2"/>
      <c r="EQ60" s="2">
        <v>0</v>
      </c>
      <c r="ER60" s="2">
        <v>0</v>
      </c>
      <c r="ES60" s="2">
        <v>612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106</v>
      </c>
      <c r="GB60" s="2"/>
      <c r="GC60" s="2"/>
      <c r="GD60" s="2">
        <v>1</v>
      </c>
      <c r="GE60" s="2"/>
      <c r="GF60" s="2">
        <v>-1857974311</v>
      </c>
      <c r="GG60" s="2">
        <v>2</v>
      </c>
      <c r="GH60" s="2">
        <v>4</v>
      </c>
      <c r="GI60" s="2">
        <v>-2</v>
      </c>
      <c r="GJ60" s="2">
        <v>0</v>
      </c>
      <c r="GK60" s="2">
        <v>0</v>
      </c>
      <c r="GL60" s="2">
        <f t="shared" si="86"/>
        <v>0</v>
      </c>
      <c r="GM60" s="2">
        <f t="shared" si="87"/>
        <v>1224</v>
      </c>
      <c r="GN60" s="2">
        <f t="shared" si="88"/>
        <v>1224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>
        <f t="shared" si="93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>
        <v>-1</v>
      </c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104</v>
      </c>
      <c r="F61" t="str">
        <f>'1.Лок.смета.и.Акт'!B161</f>
        <v>Прайс-лист</v>
      </c>
      <c r="G61" t="str">
        <f>'1.Лок.смета.и.Акт'!C161</f>
        <v>Преобразователь TVG715 V</v>
      </c>
      <c r="H61" t="s">
        <v>24</v>
      </c>
      <c r="I61">
        <f>'1.Лок.смета.и.Акт'!E161</f>
        <v>2</v>
      </c>
      <c r="J61">
        <v>0</v>
      </c>
      <c r="O61">
        <f t="shared" si="54"/>
        <v>15300</v>
      </c>
      <c r="P61">
        <f t="shared" si="55"/>
        <v>15300</v>
      </c>
      <c r="Q61">
        <f t="shared" si="56"/>
        <v>0</v>
      </c>
      <c r="R61">
        <f t="shared" si="57"/>
        <v>0</v>
      </c>
      <c r="S61">
        <f t="shared" si="58"/>
        <v>0</v>
      </c>
      <c r="T61">
        <f t="shared" si="59"/>
        <v>0</v>
      </c>
      <c r="U61">
        <f t="shared" si="60"/>
        <v>0</v>
      </c>
      <c r="V61">
        <f t="shared" si="61"/>
        <v>0</v>
      </c>
      <c r="W61">
        <f t="shared" si="62"/>
        <v>0</v>
      </c>
      <c r="X61">
        <f t="shared" si="63"/>
        <v>0</v>
      </c>
      <c r="Y61">
        <f t="shared" si="64"/>
        <v>0</v>
      </c>
      <c r="AA61">
        <v>34748540</v>
      </c>
      <c r="AB61">
        <f t="shared" si="65"/>
        <v>612</v>
      </c>
      <c r="AC61">
        <f t="shared" si="66"/>
        <v>612</v>
      </c>
      <c r="AD61">
        <f t="shared" si="67"/>
        <v>0</v>
      </c>
      <c r="AE61">
        <f t="shared" si="68"/>
        <v>0</v>
      </c>
      <c r="AF61">
        <f t="shared" si="69"/>
        <v>0</v>
      </c>
      <c r="AG61">
        <f t="shared" si="70"/>
        <v>0</v>
      </c>
      <c r="AH61">
        <f t="shared" si="71"/>
        <v>0</v>
      </c>
      <c r="AI61">
        <f t="shared" si="72"/>
        <v>0</v>
      </c>
      <c r="AJ61">
        <f t="shared" si="73"/>
        <v>0</v>
      </c>
      <c r="AK61">
        <v>612</v>
      </c>
      <c r="AL61" s="106">
        <f>'1.Лок.смета.и.Акт'!F161</f>
        <v>612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12.5</v>
      </c>
      <c r="BA61">
        <v>1</v>
      </c>
      <c r="BB61">
        <v>1</v>
      </c>
      <c r="BC61">
        <f>'1.Лок.смета.и.Акт'!J161</f>
        <v>12.5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4"/>
        <v>15300</v>
      </c>
      <c r="CQ61">
        <f t="shared" si="75"/>
        <v>7650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24</v>
      </c>
      <c r="DW61" t="str">
        <f>'1.Лок.смета.и.Акт'!D161</f>
        <v>ШТ</v>
      </c>
      <c r="DX61">
        <v>1</v>
      </c>
      <c r="EE61">
        <v>32653538</v>
      </c>
      <c r="EF61">
        <v>20</v>
      </c>
      <c r="EG61" t="s">
        <v>91</v>
      </c>
      <c r="EH61">
        <v>0</v>
      </c>
      <c r="EI61" t="s">
        <v>3</v>
      </c>
      <c r="EJ61">
        <v>1</v>
      </c>
      <c r="EK61">
        <v>1100</v>
      </c>
      <c r="EL61" t="s">
        <v>92</v>
      </c>
      <c r="EM61" t="s">
        <v>93</v>
      </c>
      <c r="EO61" t="s">
        <v>3</v>
      </c>
      <c r="EQ61">
        <v>0</v>
      </c>
      <c r="ER61">
        <v>612</v>
      </c>
      <c r="ES61" s="106">
        <f>'1.Лок.смета.и.Акт'!F161</f>
        <v>612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7500</v>
      </c>
      <c r="FQ61">
        <v>0</v>
      </c>
      <c r="FR61">
        <f t="shared" si="85"/>
        <v>0</v>
      </c>
      <c r="FS61">
        <v>0</v>
      </c>
      <c r="FX61">
        <v>0</v>
      </c>
      <c r="FY61">
        <v>0</v>
      </c>
      <c r="GA61" t="s">
        <v>106</v>
      </c>
      <c r="GD61">
        <v>1</v>
      </c>
      <c r="GF61">
        <v>-1857974311</v>
      </c>
      <c r="GG61">
        <v>1</v>
      </c>
      <c r="GH61">
        <v>3</v>
      </c>
      <c r="GI61">
        <v>4</v>
      </c>
      <c r="GJ61">
        <v>0</v>
      </c>
      <c r="GK61">
        <v>0</v>
      </c>
      <c r="GL61">
        <f t="shared" si="86"/>
        <v>0</v>
      </c>
      <c r="GM61">
        <f t="shared" si="87"/>
        <v>15300</v>
      </c>
      <c r="GN61">
        <f t="shared" si="88"/>
        <v>15300</v>
      </c>
      <c r="GO61">
        <f t="shared" si="89"/>
        <v>0</v>
      </c>
      <c r="GP61">
        <f t="shared" si="90"/>
        <v>0</v>
      </c>
      <c r="GR61">
        <v>1</v>
      </c>
      <c r="GS61">
        <v>1</v>
      </c>
      <c r="GT61">
        <v>0</v>
      </c>
      <c r="GU61" t="s">
        <v>3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HC61">
        <f t="shared" si="93"/>
        <v>0</v>
      </c>
      <c r="IF61">
        <v>-1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107</v>
      </c>
      <c r="F62" s="2" t="s">
        <v>89</v>
      </c>
      <c r="G62" s="2" t="s">
        <v>108</v>
      </c>
      <c r="H62" s="2" t="s">
        <v>24</v>
      </c>
      <c r="I62" s="2">
        <f>'1.Лок.смета.и.Акт'!E164</f>
        <v>2</v>
      </c>
      <c r="J62" s="2">
        <v>0</v>
      </c>
      <c r="K62" s="2"/>
      <c r="L62" s="2"/>
      <c r="M62" s="2"/>
      <c r="N62" s="2"/>
      <c r="O62" s="2">
        <f t="shared" si="54"/>
        <v>244.8</v>
      </c>
      <c r="P62" s="2">
        <f t="shared" si="55"/>
        <v>244.8</v>
      </c>
      <c r="Q62" s="2">
        <f t="shared" si="56"/>
        <v>0</v>
      </c>
      <c r="R62" s="2">
        <f t="shared" si="57"/>
        <v>0</v>
      </c>
      <c r="S62" s="2">
        <f t="shared" si="58"/>
        <v>0</v>
      </c>
      <c r="T62" s="2">
        <f t="shared" si="59"/>
        <v>0</v>
      </c>
      <c r="U62" s="2">
        <f t="shared" si="60"/>
        <v>0</v>
      </c>
      <c r="V62" s="2">
        <f t="shared" si="61"/>
        <v>0</v>
      </c>
      <c r="W62" s="2">
        <f t="shared" si="62"/>
        <v>0</v>
      </c>
      <c r="X62" s="2">
        <f t="shared" si="63"/>
        <v>0</v>
      </c>
      <c r="Y62" s="2">
        <f t="shared" si="64"/>
        <v>0</v>
      </c>
      <c r="Z62" s="2"/>
      <c r="AA62" s="2">
        <v>34748518</v>
      </c>
      <c r="AB62" s="2">
        <f t="shared" si="65"/>
        <v>122.4</v>
      </c>
      <c r="AC62" s="2">
        <f t="shared" si="66"/>
        <v>122.4</v>
      </c>
      <c r="AD62" s="2">
        <f t="shared" si="67"/>
        <v>0</v>
      </c>
      <c r="AE62" s="2">
        <f t="shared" si="68"/>
        <v>0</v>
      </c>
      <c r="AF62" s="2">
        <f t="shared" si="69"/>
        <v>0</v>
      </c>
      <c r="AG62" s="2">
        <f t="shared" si="70"/>
        <v>0</v>
      </c>
      <c r="AH62" s="2">
        <f t="shared" si="71"/>
        <v>0</v>
      </c>
      <c r="AI62" s="2">
        <f t="shared" si="72"/>
        <v>0</v>
      </c>
      <c r="AJ62" s="2">
        <f t="shared" si="73"/>
        <v>0</v>
      </c>
      <c r="AK62" s="2">
        <v>122.4</v>
      </c>
      <c r="AL62" s="2">
        <v>122.4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4"/>
        <v>244.8</v>
      </c>
      <c r="CQ62" s="2">
        <f t="shared" si="75"/>
        <v>122.4</v>
      </c>
      <c r="CR62" s="2">
        <f t="shared" si="76"/>
        <v>0</v>
      </c>
      <c r="CS62" s="2">
        <f t="shared" si="77"/>
        <v>0</v>
      </c>
      <c r="CT62" s="2">
        <f t="shared" si="78"/>
        <v>0</v>
      </c>
      <c r="CU62" s="2">
        <f t="shared" si="79"/>
        <v>0</v>
      </c>
      <c r="CV62" s="2">
        <f t="shared" si="80"/>
        <v>0</v>
      </c>
      <c r="CW62" s="2">
        <f t="shared" si="81"/>
        <v>0</v>
      </c>
      <c r="CX62" s="2">
        <f t="shared" si="82"/>
        <v>0</v>
      </c>
      <c r="CY62" s="2">
        <f t="shared" si="83"/>
        <v>0</v>
      </c>
      <c r="CZ62" s="2">
        <f t="shared" si="84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24</v>
      </c>
      <c r="DW62" s="2" t="s">
        <v>24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91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92</v>
      </c>
      <c r="EM62" s="2" t="s">
        <v>93</v>
      </c>
      <c r="EN62" s="2"/>
      <c r="EO62" s="2" t="s">
        <v>3</v>
      </c>
      <c r="EP62" s="2"/>
      <c r="EQ62" s="2">
        <v>0</v>
      </c>
      <c r="ER62" s="2">
        <v>0</v>
      </c>
      <c r="ES62" s="2">
        <v>122.4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109</v>
      </c>
      <c r="GB62" s="2"/>
      <c r="GC62" s="2"/>
      <c r="GD62" s="2">
        <v>1</v>
      </c>
      <c r="GE62" s="2"/>
      <c r="GF62" s="2">
        <v>1885556746</v>
      </c>
      <c r="GG62" s="2">
        <v>2</v>
      </c>
      <c r="GH62" s="2">
        <v>4</v>
      </c>
      <c r="GI62" s="2">
        <v>-2</v>
      </c>
      <c r="GJ62" s="2">
        <v>0</v>
      </c>
      <c r="GK62" s="2">
        <v>0</v>
      </c>
      <c r="GL62" s="2">
        <f t="shared" si="86"/>
        <v>0</v>
      </c>
      <c r="GM62" s="2">
        <f t="shared" si="87"/>
        <v>244.8</v>
      </c>
      <c r="GN62" s="2">
        <f t="shared" si="88"/>
        <v>244.8</v>
      </c>
      <c r="GO62" s="2">
        <f t="shared" si="89"/>
        <v>0</v>
      </c>
      <c r="GP62" s="2">
        <f t="shared" si="90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>
        <f t="shared" si="93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>
        <v>-1</v>
      </c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107</v>
      </c>
      <c r="F63" t="str">
        <f>'1.Лок.смета.и.Акт'!B164</f>
        <v>Прайс-лист</v>
      </c>
      <c r="G63" t="str">
        <f>'1.Лок.смета.и.Акт'!C164</f>
        <v>Преобразователь напряжения PRI-2002</v>
      </c>
      <c r="H63" t="s">
        <v>24</v>
      </c>
      <c r="I63">
        <f>'1.Лок.смета.и.Акт'!E164</f>
        <v>2</v>
      </c>
      <c r="J63">
        <v>0</v>
      </c>
      <c r="O63">
        <f t="shared" si="54"/>
        <v>3060</v>
      </c>
      <c r="P63">
        <f t="shared" si="55"/>
        <v>3060</v>
      </c>
      <c r="Q63">
        <f t="shared" si="56"/>
        <v>0</v>
      </c>
      <c r="R63">
        <f t="shared" si="57"/>
        <v>0</v>
      </c>
      <c r="S63">
        <f t="shared" si="58"/>
        <v>0</v>
      </c>
      <c r="T63">
        <f t="shared" si="59"/>
        <v>0</v>
      </c>
      <c r="U63">
        <f t="shared" si="60"/>
        <v>0</v>
      </c>
      <c r="V63">
        <f t="shared" si="61"/>
        <v>0</v>
      </c>
      <c r="W63">
        <f t="shared" si="62"/>
        <v>0</v>
      </c>
      <c r="X63">
        <f t="shared" si="63"/>
        <v>0</v>
      </c>
      <c r="Y63">
        <f t="shared" si="64"/>
        <v>0</v>
      </c>
      <c r="AA63">
        <v>34748540</v>
      </c>
      <c r="AB63">
        <f t="shared" si="65"/>
        <v>122.4</v>
      </c>
      <c r="AC63">
        <f t="shared" si="66"/>
        <v>122.4</v>
      </c>
      <c r="AD63">
        <f t="shared" si="67"/>
        <v>0</v>
      </c>
      <c r="AE63">
        <f t="shared" si="68"/>
        <v>0</v>
      </c>
      <c r="AF63">
        <f t="shared" si="69"/>
        <v>0</v>
      </c>
      <c r="AG63">
        <f t="shared" si="70"/>
        <v>0</v>
      </c>
      <c r="AH63">
        <f t="shared" si="71"/>
        <v>0</v>
      </c>
      <c r="AI63">
        <f t="shared" si="72"/>
        <v>0</v>
      </c>
      <c r="AJ63">
        <f t="shared" si="73"/>
        <v>0</v>
      </c>
      <c r="AK63">
        <v>122.4</v>
      </c>
      <c r="AL63" s="106">
        <f>'1.Лок.смета.и.Акт'!F164</f>
        <v>122.4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12.5</v>
      </c>
      <c r="BA63">
        <v>1</v>
      </c>
      <c r="BB63">
        <v>1</v>
      </c>
      <c r="BC63">
        <f>'1.Лок.смета.и.Акт'!J164</f>
        <v>12.5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4"/>
        <v>3060</v>
      </c>
      <c r="CQ63">
        <f t="shared" si="75"/>
        <v>1530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24</v>
      </c>
      <c r="DW63" t="str">
        <f>'1.Лок.смета.и.Акт'!D164</f>
        <v>ШТ</v>
      </c>
      <c r="DX63">
        <v>1</v>
      </c>
      <c r="EE63">
        <v>32653538</v>
      </c>
      <c r="EF63">
        <v>20</v>
      </c>
      <c r="EG63" t="s">
        <v>91</v>
      </c>
      <c r="EH63">
        <v>0</v>
      </c>
      <c r="EI63" t="s">
        <v>3</v>
      </c>
      <c r="EJ63">
        <v>1</v>
      </c>
      <c r="EK63">
        <v>1100</v>
      </c>
      <c r="EL63" t="s">
        <v>92</v>
      </c>
      <c r="EM63" t="s">
        <v>93</v>
      </c>
      <c r="EO63" t="s">
        <v>3</v>
      </c>
      <c r="EQ63">
        <v>0</v>
      </c>
      <c r="ER63">
        <v>122.4</v>
      </c>
      <c r="ES63" s="106">
        <f>'1.Лок.смета.и.Акт'!F164</f>
        <v>122.4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1500</v>
      </c>
      <c r="FQ63">
        <v>0</v>
      </c>
      <c r="FR63">
        <f t="shared" si="85"/>
        <v>0</v>
      </c>
      <c r="FS63">
        <v>0</v>
      </c>
      <c r="FX63">
        <v>0</v>
      </c>
      <c r="FY63">
        <v>0</v>
      </c>
      <c r="GA63" t="s">
        <v>109</v>
      </c>
      <c r="GD63">
        <v>1</v>
      </c>
      <c r="GF63">
        <v>1885556746</v>
      </c>
      <c r="GG63">
        <v>1</v>
      </c>
      <c r="GH63">
        <v>3</v>
      </c>
      <c r="GI63">
        <v>4</v>
      </c>
      <c r="GJ63">
        <v>0</v>
      </c>
      <c r="GK63">
        <v>0</v>
      </c>
      <c r="GL63">
        <f t="shared" si="86"/>
        <v>0</v>
      </c>
      <c r="GM63">
        <f t="shared" si="87"/>
        <v>3060</v>
      </c>
      <c r="GN63">
        <f t="shared" si="88"/>
        <v>3060</v>
      </c>
      <c r="GO63">
        <f t="shared" si="89"/>
        <v>0</v>
      </c>
      <c r="GP63">
        <f t="shared" si="90"/>
        <v>0</v>
      </c>
      <c r="GR63">
        <v>1</v>
      </c>
      <c r="GS63">
        <v>1</v>
      </c>
      <c r="GT63">
        <v>0</v>
      </c>
      <c r="GU63" t="s">
        <v>3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HC63">
        <f t="shared" si="93"/>
        <v>0</v>
      </c>
      <c r="IF63">
        <v>-1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110</v>
      </c>
      <c r="F64" s="2" t="s">
        <v>89</v>
      </c>
      <c r="G64" s="2" t="s">
        <v>111</v>
      </c>
      <c r="H64" s="2" t="s">
        <v>24</v>
      </c>
      <c r="I64" s="2">
        <f>'1.Лок.смета.и.Акт'!E167</f>
        <v>2</v>
      </c>
      <c r="J64" s="2">
        <v>0</v>
      </c>
      <c r="K64" s="2"/>
      <c r="L64" s="2"/>
      <c r="M64" s="2"/>
      <c r="N64" s="2"/>
      <c r="O64" s="2">
        <f t="shared" si="54"/>
        <v>479.16</v>
      </c>
      <c r="P64" s="2">
        <f t="shared" si="55"/>
        <v>479.16</v>
      </c>
      <c r="Q64" s="2">
        <f t="shared" si="56"/>
        <v>0</v>
      </c>
      <c r="R64" s="2">
        <f t="shared" si="57"/>
        <v>0</v>
      </c>
      <c r="S64" s="2">
        <f t="shared" si="58"/>
        <v>0</v>
      </c>
      <c r="T64" s="2">
        <f t="shared" si="59"/>
        <v>0</v>
      </c>
      <c r="U64" s="2">
        <f t="shared" si="60"/>
        <v>0</v>
      </c>
      <c r="V64" s="2">
        <f t="shared" si="61"/>
        <v>0</v>
      </c>
      <c r="W64" s="2">
        <f t="shared" si="62"/>
        <v>0</v>
      </c>
      <c r="X64" s="2">
        <f t="shared" si="63"/>
        <v>0</v>
      </c>
      <c r="Y64" s="2">
        <f t="shared" si="64"/>
        <v>0</v>
      </c>
      <c r="Z64" s="2"/>
      <c r="AA64" s="2">
        <v>34748518</v>
      </c>
      <c r="AB64" s="2">
        <f t="shared" si="65"/>
        <v>239.58</v>
      </c>
      <c r="AC64" s="2">
        <f t="shared" si="66"/>
        <v>239.58</v>
      </c>
      <c r="AD64" s="2">
        <f t="shared" si="67"/>
        <v>0</v>
      </c>
      <c r="AE64" s="2">
        <f t="shared" si="68"/>
        <v>0</v>
      </c>
      <c r="AF64" s="2">
        <f t="shared" si="69"/>
        <v>0</v>
      </c>
      <c r="AG64" s="2">
        <f t="shared" si="70"/>
        <v>0</v>
      </c>
      <c r="AH64" s="2">
        <f t="shared" si="71"/>
        <v>0</v>
      </c>
      <c r="AI64" s="2">
        <f t="shared" si="72"/>
        <v>0</v>
      </c>
      <c r="AJ64" s="2">
        <f t="shared" si="73"/>
        <v>0</v>
      </c>
      <c r="AK64" s="2">
        <v>239.57999999999998</v>
      </c>
      <c r="AL64" s="2">
        <v>239.57999999999998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4"/>
        <v>479.16</v>
      </c>
      <c r="CQ64" s="2">
        <f t="shared" si="75"/>
        <v>239.58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24</v>
      </c>
      <c r="DW64" s="2" t="s">
        <v>24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91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92</v>
      </c>
      <c r="EM64" s="2" t="s">
        <v>93</v>
      </c>
      <c r="EN64" s="2"/>
      <c r="EO64" s="2" t="s">
        <v>3</v>
      </c>
      <c r="EP64" s="2"/>
      <c r="EQ64" s="2">
        <v>0</v>
      </c>
      <c r="ER64" s="2">
        <v>0</v>
      </c>
      <c r="ES64" s="2">
        <v>239.57999999999998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112</v>
      </c>
      <c r="GB64" s="2"/>
      <c r="GC64" s="2"/>
      <c r="GD64" s="2">
        <v>1</v>
      </c>
      <c r="GE64" s="2"/>
      <c r="GF64" s="2">
        <v>-312324203</v>
      </c>
      <c r="GG64" s="2">
        <v>2</v>
      </c>
      <c r="GH64" s="2">
        <v>4</v>
      </c>
      <c r="GI64" s="2">
        <v>-2</v>
      </c>
      <c r="GJ64" s="2">
        <v>0</v>
      </c>
      <c r="GK64" s="2">
        <v>0</v>
      </c>
      <c r="GL64" s="2">
        <f t="shared" si="86"/>
        <v>0</v>
      </c>
      <c r="GM64" s="2">
        <f t="shared" si="87"/>
        <v>479.16</v>
      </c>
      <c r="GN64" s="2">
        <f t="shared" si="88"/>
        <v>479.16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>
        <f t="shared" si="93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>
        <v>-1</v>
      </c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110</v>
      </c>
      <c r="F65" t="str">
        <f>'1.Лок.смета.и.Акт'!B167</f>
        <v>Прайс-лист</v>
      </c>
      <c r="G65" t="str">
        <f>'1.Лок.смета.и.Акт'!C167</f>
        <v>Модем GSM IRZ ТG21.В</v>
      </c>
      <c r="H65" t="s">
        <v>24</v>
      </c>
      <c r="I65">
        <f>'1.Лок.смета.и.Акт'!E167</f>
        <v>2</v>
      </c>
      <c r="J65">
        <v>0</v>
      </c>
      <c r="O65">
        <f t="shared" si="54"/>
        <v>5989.5</v>
      </c>
      <c r="P65">
        <f t="shared" si="55"/>
        <v>5989.5</v>
      </c>
      <c r="Q65">
        <f t="shared" si="56"/>
        <v>0</v>
      </c>
      <c r="R65">
        <f t="shared" si="57"/>
        <v>0</v>
      </c>
      <c r="S65">
        <f t="shared" si="58"/>
        <v>0</v>
      </c>
      <c r="T65">
        <f t="shared" si="59"/>
        <v>0</v>
      </c>
      <c r="U65">
        <f t="shared" si="60"/>
        <v>0</v>
      </c>
      <c r="V65">
        <f t="shared" si="61"/>
        <v>0</v>
      </c>
      <c r="W65">
        <f t="shared" si="62"/>
        <v>0</v>
      </c>
      <c r="X65">
        <f t="shared" si="63"/>
        <v>0</v>
      </c>
      <c r="Y65">
        <f t="shared" si="64"/>
        <v>0</v>
      </c>
      <c r="AA65">
        <v>34748540</v>
      </c>
      <c r="AB65">
        <f t="shared" si="65"/>
        <v>239.58</v>
      </c>
      <c r="AC65">
        <f t="shared" si="66"/>
        <v>239.58</v>
      </c>
      <c r="AD65">
        <f t="shared" si="67"/>
        <v>0</v>
      </c>
      <c r="AE65">
        <f t="shared" si="68"/>
        <v>0</v>
      </c>
      <c r="AF65">
        <f t="shared" si="69"/>
        <v>0</v>
      </c>
      <c r="AG65">
        <f t="shared" si="70"/>
        <v>0</v>
      </c>
      <c r="AH65">
        <f t="shared" si="71"/>
        <v>0</v>
      </c>
      <c r="AI65">
        <f t="shared" si="72"/>
        <v>0</v>
      </c>
      <c r="AJ65">
        <f t="shared" si="73"/>
        <v>0</v>
      </c>
      <c r="AK65">
        <v>239.57999999999998</v>
      </c>
      <c r="AL65" s="106">
        <f>'1.Лок.смета.и.Акт'!F167</f>
        <v>239.57999999999998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12.5</v>
      </c>
      <c r="BA65">
        <v>1</v>
      </c>
      <c r="BB65">
        <v>1</v>
      </c>
      <c r="BC65">
        <f>'1.Лок.смета.и.Акт'!J167</f>
        <v>12.5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4"/>
        <v>5989.5</v>
      </c>
      <c r="CQ65">
        <f t="shared" si="75"/>
        <v>2994.75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24</v>
      </c>
      <c r="DW65" t="str">
        <f>'1.Лок.смета.и.Акт'!D167</f>
        <v>ШТ</v>
      </c>
      <c r="DX65">
        <v>1</v>
      </c>
      <c r="EE65">
        <v>32653538</v>
      </c>
      <c r="EF65">
        <v>20</v>
      </c>
      <c r="EG65" t="s">
        <v>91</v>
      </c>
      <c r="EH65">
        <v>0</v>
      </c>
      <c r="EI65" t="s">
        <v>3</v>
      </c>
      <c r="EJ65">
        <v>1</v>
      </c>
      <c r="EK65">
        <v>1100</v>
      </c>
      <c r="EL65" t="s">
        <v>92</v>
      </c>
      <c r="EM65" t="s">
        <v>93</v>
      </c>
      <c r="EO65" t="s">
        <v>3</v>
      </c>
      <c r="EQ65">
        <v>0</v>
      </c>
      <c r="ER65">
        <v>239.57999999999998</v>
      </c>
      <c r="ES65" s="106">
        <f>'1.Лок.смета.и.Акт'!F167</f>
        <v>239.57999999999998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2936</v>
      </c>
      <c r="FQ65">
        <v>0</v>
      </c>
      <c r="FR65">
        <f t="shared" si="85"/>
        <v>0</v>
      </c>
      <c r="FS65">
        <v>0</v>
      </c>
      <c r="FX65">
        <v>0</v>
      </c>
      <c r="FY65">
        <v>0</v>
      </c>
      <c r="GA65" t="s">
        <v>112</v>
      </c>
      <c r="GD65">
        <v>1</v>
      </c>
      <c r="GF65">
        <v>-312324203</v>
      </c>
      <c r="GG65">
        <v>1</v>
      </c>
      <c r="GH65">
        <v>3</v>
      </c>
      <c r="GI65">
        <v>4</v>
      </c>
      <c r="GJ65">
        <v>0</v>
      </c>
      <c r="GK65">
        <v>0</v>
      </c>
      <c r="GL65">
        <f t="shared" si="86"/>
        <v>0</v>
      </c>
      <c r="GM65">
        <f t="shared" si="87"/>
        <v>5989.5</v>
      </c>
      <c r="GN65">
        <f t="shared" si="88"/>
        <v>5989.5</v>
      </c>
      <c r="GO65">
        <f t="shared" si="89"/>
        <v>0</v>
      </c>
      <c r="GP65">
        <f t="shared" si="90"/>
        <v>0</v>
      </c>
      <c r="GR65">
        <v>1</v>
      </c>
      <c r="GS65">
        <v>1</v>
      </c>
      <c r="GT65">
        <v>0</v>
      </c>
      <c r="GU65" t="s">
        <v>3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HC65">
        <f t="shared" si="93"/>
        <v>0</v>
      </c>
      <c r="IF65">
        <v>-1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113</v>
      </c>
      <c r="F66" s="2" t="s">
        <v>89</v>
      </c>
      <c r="G66" s="2" t="s">
        <v>114</v>
      </c>
      <c r="H66" s="2" t="s">
        <v>24</v>
      </c>
      <c r="I66" s="2">
        <f>'1.Лок.смета.и.Акт'!E170</f>
        <v>2</v>
      </c>
      <c r="J66" s="2">
        <v>0</v>
      </c>
      <c r="K66" s="2"/>
      <c r="L66" s="2"/>
      <c r="M66" s="2"/>
      <c r="N66" s="2"/>
      <c r="O66" s="2">
        <f t="shared" si="54"/>
        <v>495.8</v>
      </c>
      <c r="P66" s="2">
        <f t="shared" si="55"/>
        <v>495.8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34748518</v>
      </c>
      <c r="AB66" s="2">
        <f t="shared" si="65"/>
        <v>247.9</v>
      </c>
      <c r="AC66" s="2">
        <f t="shared" si="66"/>
        <v>247.9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247.9</v>
      </c>
      <c r="AL66" s="2">
        <v>247.9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4"/>
        <v>495.8</v>
      </c>
      <c r="CQ66" s="2">
        <f t="shared" si="75"/>
        <v>247.9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24</v>
      </c>
      <c r="DW66" s="2" t="s">
        <v>24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91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92</v>
      </c>
      <c r="EM66" s="2" t="s">
        <v>93</v>
      </c>
      <c r="EN66" s="2"/>
      <c r="EO66" s="2" t="s">
        <v>3</v>
      </c>
      <c r="EP66" s="2"/>
      <c r="EQ66" s="2">
        <v>0</v>
      </c>
      <c r="ER66" s="2">
        <v>0</v>
      </c>
      <c r="ES66" s="2">
        <v>247.9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115</v>
      </c>
      <c r="GB66" s="2"/>
      <c r="GC66" s="2"/>
      <c r="GD66" s="2">
        <v>1</v>
      </c>
      <c r="GE66" s="2"/>
      <c r="GF66" s="2">
        <v>419270619</v>
      </c>
      <c r="GG66" s="2">
        <v>2</v>
      </c>
      <c r="GH66" s="2">
        <v>4</v>
      </c>
      <c r="GI66" s="2">
        <v>-2</v>
      </c>
      <c r="GJ66" s="2">
        <v>0</v>
      </c>
      <c r="GK66" s="2">
        <v>0</v>
      </c>
      <c r="GL66" s="2">
        <f t="shared" si="86"/>
        <v>0</v>
      </c>
      <c r="GM66" s="2">
        <f t="shared" si="87"/>
        <v>495.8</v>
      </c>
      <c r="GN66" s="2">
        <f t="shared" si="88"/>
        <v>495.8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>
        <f t="shared" si="93"/>
        <v>0</v>
      </c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>
        <v>-1</v>
      </c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113</v>
      </c>
      <c r="F67" t="str">
        <f>'1.Лок.смета.и.Акт'!B170</f>
        <v>Прайс-лист</v>
      </c>
      <c r="G67" t="str">
        <f>'1.Лок.смета.и.Акт'!C170</f>
        <v>Модем USB 4G Huawei E3372H</v>
      </c>
      <c r="H67" t="s">
        <v>24</v>
      </c>
      <c r="I67">
        <f>'1.Лок.смета.и.Акт'!E170</f>
        <v>2</v>
      </c>
      <c r="J67">
        <v>0</v>
      </c>
      <c r="O67">
        <f t="shared" si="54"/>
        <v>6197.5</v>
      </c>
      <c r="P67">
        <f t="shared" si="55"/>
        <v>6197.5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34748540</v>
      </c>
      <c r="AB67">
        <f t="shared" si="65"/>
        <v>247.9</v>
      </c>
      <c r="AC67">
        <f t="shared" si="66"/>
        <v>247.9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247.9</v>
      </c>
      <c r="AL67" s="106">
        <f>'1.Лок.смета.и.Акт'!F170</f>
        <v>247.9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12.5</v>
      </c>
      <c r="BA67">
        <v>1</v>
      </c>
      <c r="BB67">
        <v>1</v>
      </c>
      <c r="BC67">
        <f>'1.Лок.смета.и.Акт'!J170</f>
        <v>12.5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4"/>
        <v>6197.5</v>
      </c>
      <c r="CQ67">
        <f t="shared" si="75"/>
        <v>3098.75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24</v>
      </c>
      <c r="DW67" t="str">
        <f>'1.Лок.смета.и.Акт'!D170</f>
        <v>ШТ</v>
      </c>
      <c r="DX67">
        <v>1</v>
      </c>
      <c r="EE67">
        <v>32653538</v>
      </c>
      <c r="EF67">
        <v>20</v>
      </c>
      <c r="EG67" t="s">
        <v>91</v>
      </c>
      <c r="EH67">
        <v>0</v>
      </c>
      <c r="EI67" t="s">
        <v>3</v>
      </c>
      <c r="EJ67">
        <v>1</v>
      </c>
      <c r="EK67">
        <v>1100</v>
      </c>
      <c r="EL67" t="s">
        <v>92</v>
      </c>
      <c r="EM67" t="s">
        <v>93</v>
      </c>
      <c r="EO67" t="s">
        <v>3</v>
      </c>
      <c r="EQ67">
        <v>0</v>
      </c>
      <c r="ER67">
        <v>247.9</v>
      </c>
      <c r="ES67" s="106">
        <f>'1.Лок.смета.и.Акт'!F170</f>
        <v>247.9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3038</v>
      </c>
      <c r="FQ67">
        <v>0</v>
      </c>
      <c r="FR67">
        <f t="shared" si="85"/>
        <v>0</v>
      </c>
      <c r="FS67">
        <v>0</v>
      </c>
      <c r="FX67">
        <v>0</v>
      </c>
      <c r="FY67">
        <v>0</v>
      </c>
      <c r="GA67" t="s">
        <v>115</v>
      </c>
      <c r="GD67">
        <v>1</v>
      </c>
      <c r="GF67">
        <v>419270619</v>
      </c>
      <c r="GG67">
        <v>1</v>
      </c>
      <c r="GH67">
        <v>3</v>
      </c>
      <c r="GI67">
        <v>4</v>
      </c>
      <c r="GJ67">
        <v>0</v>
      </c>
      <c r="GK67">
        <v>0</v>
      </c>
      <c r="GL67">
        <f t="shared" si="86"/>
        <v>0</v>
      </c>
      <c r="GM67">
        <f t="shared" si="87"/>
        <v>6197.5</v>
      </c>
      <c r="GN67">
        <f t="shared" si="88"/>
        <v>6197.5</v>
      </c>
      <c r="GO67">
        <f t="shared" si="89"/>
        <v>0</v>
      </c>
      <c r="GP67">
        <f t="shared" si="90"/>
        <v>0</v>
      </c>
      <c r="GR67">
        <v>1</v>
      </c>
      <c r="GS67">
        <v>1</v>
      </c>
      <c r="GT67">
        <v>0</v>
      </c>
      <c r="GU67" t="s">
        <v>3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HC67">
        <f t="shared" si="93"/>
        <v>0</v>
      </c>
      <c r="IF67">
        <v>-1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116</v>
      </c>
      <c r="F68" s="2" t="s">
        <v>89</v>
      </c>
      <c r="G68" s="2" t="s">
        <v>117</v>
      </c>
      <c r="H68" s="2" t="s">
        <v>24</v>
      </c>
      <c r="I68" s="2">
        <f>'1.Лок.смета.и.Акт'!E173</f>
        <v>2</v>
      </c>
      <c r="J68" s="2">
        <v>0</v>
      </c>
      <c r="K68" s="2"/>
      <c r="L68" s="2"/>
      <c r="M68" s="2"/>
      <c r="N68" s="2"/>
      <c r="O68" s="2">
        <f t="shared" si="54"/>
        <v>162.54</v>
      </c>
      <c r="P68" s="2">
        <f t="shared" si="55"/>
        <v>162.54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34748518</v>
      </c>
      <c r="AB68" s="2">
        <f t="shared" si="65"/>
        <v>81.27</v>
      </c>
      <c r="AC68" s="2">
        <f t="shared" si="66"/>
        <v>81.27</v>
      </c>
      <c r="AD68" s="2">
        <f t="shared" si="67"/>
        <v>0</v>
      </c>
      <c r="AE68" s="2">
        <f t="shared" si="68"/>
        <v>0</v>
      </c>
      <c r="AF68" s="2">
        <f t="shared" si="69"/>
        <v>0</v>
      </c>
      <c r="AG68" s="2">
        <f t="shared" si="70"/>
        <v>0</v>
      </c>
      <c r="AH68" s="2">
        <f t="shared" si="71"/>
        <v>0</v>
      </c>
      <c r="AI68" s="2">
        <f t="shared" si="72"/>
        <v>0</v>
      </c>
      <c r="AJ68" s="2">
        <f t="shared" si="73"/>
        <v>0</v>
      </c>
      <c r="AK68" s="2">
        <v>81.27000000000001</v>
      </c>
      <c r="AL68" s="2">
        <v>81.27000000000001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4"/>
        <v>162.54</v>
      </c>
      <c r="CQ68" s="2">
        <f t="shared" si="75"/>
        <v>81.27</v>
      </c>
      <c r="CR68" s="2">
        <f t="shared" si="76"/>
        <v>0</v>
      </c>
      <c r="CS68" s="2">
        <f t="shared" si="77"/>
        <v>0</v>
      </c>
      <c r="CT68" s="2">
        <f t="shared" si="78"/>
        <v>0</v>
      </c>
      <c r="CU68" s="2">
        <f t="shared" si="79"/>
        <v>0</v>
      </c>
      <c r="CV68" s="2">
        <f t="shared" si="80"/>
        <v>0</v>
      </c>
      <c r="CW68" s="2">
        <f t="shared" si="81"/>
        <v>0</v>
      </c>
      <c r="CX68" s="2">
        <f t="shared" si="82"/>
        <v>0</v>
      </c>
      <c r="CY68" s="2">
        <f t="shared" si="83"/>
        <v>0</v>
      </c>
      <c r="CZ68" s="2">
        <f t="shared" si="84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24</v>
      </c>
      <c r="DW68" s="2" t="s">
        <v>24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91</v>
      </c>
      <c r="EH68" s="2">
        <v>0</v>
      </c>
      <c r="EI68" s="2" t="s">
        <v>3</v>
      </c>
      <c r="EJ68" s="2">
        <v>1</v>
      </c>
      <c r="EK68" s="2">
        <v>1100</v>
      </c>
      <c r="EL68" s="2" t="s">
        <v>92</v>
      </c>
      <c r="EM68" s="2" t="s">
        <v>93</v>
      </c>
      <c r="EN68" s="2"/>
      <c r="EO68" s="2" t="s">
        <v>3</v>
      </c>
      <c r="EP68" s="2"/>
      <c r="EQ68" s="2">
        <v>0</v>
      </c>
      <c r="ER68" s="2">
        <v>0</v>
      </c>
      <c r="ES68" s="2">
        <v>81.27000000000001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118</v>
      </c>
      <c r="GB68" s="2"/>
      <c r="GC68" s="2"/>
      <c r="GD68" s="2">
        <v>1</v>
      </c>
      <c r="GE68" s="2"/>
      <c r="GF68" s="2">
        <v>977694604</v>
      </c>
      <c r="GG68" s="2">
        <v>2</v>
      </c>
      <c r="GH68" s="2">
        <v>4</v>
      </c>
      <c r="GI68" s="2">
        <v>-2</v>
      </c>
      <c r="GJ68" s="2">
        <v>0</v>
      </c>
      <c r="GK68" s="2">
        <v>0</v>
      </c>
      <c r="GL68" s="2">
        <f t="shared" si="86"/>
        <v>0</v>
      </c>
      <c r="GM68" s="2">
        <f t="shared" si="87"/>
        <v>162.54</v>
      </c>
      <c r="GN68" s="2">
        <f t="shared" si="88"/>
        <v>162.54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>
        <f t="shared" si="93"/>
        <v>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>
        <v>-1</v>
      </c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116</v>
      </c>
      <c r="F69" t="str">
        <f>'1.Лок.смета.и.Акт'!B173</f>
        <v>Прайс-лист</v>
      </c>
      <c r="G69" t="str">
        <f>'1.Лок.смета.и.Акт'!C173</f>
        <v>Блок питания DR15-12</v>
      </c>
      <c r="H69" t="s">
        <v>24</v>
      </c>
      <c r="I69">
        <f>'1.Лок.смета.и.Акт'!E173</f>
        <v>2</v>
      </c>
      <c r="J69">
        <v>0</v>
      </c>
      <c r="O69">
        <f t="shared" si="54"/>
        <v>2031.75</v>
      </c>
      <c r="P69">
        <f t="shared" si="55"/>
        <v>2031.75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34748540</v>
      </c>
      <c r="AB69">
        <f t="shared" si="65"/>
        <v>81.27</v>
      </c>
      <c r="AC69">
        <f t="shared" si="66"/>
        <v>81.27</v>
      </c>
      <c r="AD69">
        <f t="shared" si="67"/>
        <v>0</v>
      </c>
      <c r="AE69">
        <f t="shared" si="68"/>
        <v>0</v>
      </c>
      <c r="AF69">
        <f t="shared" si="69"/>
        <v>0</v>
      </c>
      <c r="AG69">
        <f t="shared" si="70"/>
        <v>0</v>
      </c>
      <c r="AH69">
        <f t="shared" si="71"/>
        <v>0</v>
      </c>
      <c r="AI69">
        <f t="shared" si="72"/>
        <v>0</v>
      </c>
      <c r="AJ69">
        <f t="shared" si="73"/>
        <v>0</v>
      </c>
      <c r="AK69">
        <v>81.27000000000001</v>
      </c>
      <c r="AL69" s="106">
        <f>'1.Лок.смета.и.Акт'!F173</f>
        <v>81.27000000000001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12.5</v>
      </c>
      <c r="BA69">
        <v>1</v>
      </c>
      <c r="BB69">
        <v>1</v>
      </c>
      <c r="BC69">
        <f>'1.Лок.смета.и.Акт'!J173</f>
        <v>12.5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4"/>
        <v>2031.75</v>
      </c>
      <c r="CQ69">
        <f t="shared" si="75"/>
        <v>1015.875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24</v>
      </c>
      <c r="DW69" t="str">
        <f>'1.Лок.смета.и.Акт'!D173</f>
        <v>ШТ</v>
      </c>
      <c r="DX69">
        <v>1</v>
      </c>
      <c r="EE69">
        <v>32653538</v>
      </c>
      <c r="EF69">
        <v>20</v>
      </c>
      <c r="EG69" t="s">
        <v>91</v>
      </c>
      <c r="EH69">
        <v>0</v>
      </c>
      <c r="EI69" t="s">
        <v>3</v>
      </c>
      <c r="EJ69">
        <v>1</v>
      </c>
      <c r="EK69">
        <v>1100</v>
      </c>
      <c r="EL69" t="s">
        <v>92</v>
      </c>
      <c r="EM69" t="s">
        <v>93</v>
      </c>
      <c r="EO69" t="s">
        <v>3</v>
      </c>
      <c r="EQ69">
        <v>0</v>
      </c>
      <c r="ER69">
        <v>81.27000000000001</v>
      </c>
      <c r="ES69" s="106">
        <f>'1.Лок.смета.и.Акт'!F173</f>
        <v>81.27000000000001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996</v>
      </c>
      <c r="FQ69">
        <v>0</v>
      </c>
      <c r="FR69">
        <f t="shared" si="85"/>
        <v>0</v>
      </c>
      <c r="FS69">
        <v>0</v>
      </c>
      <c r="FX69">
        <v>0</v>
      </c>
      <c r="FY69">
        <v>0</v>
      </c>
      <c r="GA69" t="s">
        <v>118</v>
      </c>
      <c r="GD69">
        <v>1</v>
      </c>
      <c r="GF69">
        <v>977694604</v>
      </c>
      <c r="GG69">
        <v>1</v>
      </c>
      <c r="GH69">
        <v>3</v>
      </c>
      <c r="GI69">
        <v>4</v>
      </c>
      <c r="GJ69">
        <v>0</v>
      </c>
      <c r="GK69">
        <v>0</v>
      </c>
      <c r="GL69">
        <f t="shared" si="86"/>
        <v>0</v>
      </c>
      <c r="GM69">
        <f t="shared" si="87"/>
        <v>2031.75</v>
      </c>
      <c r="GN69">
        <f t="shared" si="88"/>
        <v>2031.75</v>
      </c>
      <c r="GO69">
        <f t="shared" si="89"/>
        <v>0</v>
      </c>
      <c r="GP69">
        <f t="shared" si="90"/>
        <v>0</v>
      </c>
      <c r="GR69">
        <v>1</v>
      </c>
      <c r="GS69">
        <v>1</v>
      </c>
      <c r="GT69">
        <v>0</v>
      </c>
      <c r="GU69" t="s">
        <v>3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HC69">
        <f t="shared" si="93"/>
        <v>0</v>
      </c>
      <c r="IF69">
        <v>-1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119</v>
      </c>
      <c r="F70" s="2" t="s">
        <v>89</v>
      </c>
      <c r="G70" s="2" t="s">
        <v>120</v>
      </c>
      <c r="H70" s="2" t="s">
        <v>24</v>
      </c>
      <c r="I70" s="2">
        <f>'1.Лок.смета.и.Акт'!E176</f>
        <v>2</v>
      </c>
      <c r="J70" s="2">
        <v>0</v>
      </c>
      <c r="K70" s="2"/>
      <c r="L70" s="2"/>
      <c r="M70" s="2"/>
      <c r="N70" s="2"/>
      <c r="O70" s="2">
        <f t="shared" si="54"/>
        <v>418.44</v>
      </c>
      <c r="P70" s="2">
        <f t="shared" si="55"/>
        <v>418.44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34748518</v>
      </c>
      <c r="AB70" s="2">
        <f t="shared" si="65"/>
        <v>209.22</v>
      </c>
      <c r="AC70" s="2">
        <f t="shared" si="66"/>
        <v>209.22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209.22</v>
      </c>
      <c r="AL70" s="2">
        <v>209.22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4"/>
        <v>418.44</v>
      </c>
      <c r="CQ70" s="2">
        <f t="shared" si="75"/>
        <v>209.22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24</v>
      </c>
      <c r="DW70" s="2" t="s">
        <v>24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91</v>
      </c>
      <c r="EH70" s="2">
        <v>0</v>
      </c>
      <c r="EI70" s="2" t="s">
        <v>3</v>
      </c>
      <c r="EJ70" s="2">
        <v>1</v>
      </c>
      <c r="EK70" s="2">
        <v>1100</v>
      </c>
      <c r="EL70" s="2" t="s">
        <v>92</v>
      </c>
      <c r="EM70" s="2" t="s">
        <v>93</v>
      </c>
      <c r="EN70" s="2"/>
      <c r="EO70" s="2" t="s">
        <v>3</v>
      </c>
      <c r="EP70" s="2"/>
      <c r="EQ70" s="2">
        <v>0</v>
      </c>
      <c r="ER70" s="2">
        <v>0</v>
      </c>
      <c r="ES70" s="2">
        <v>209.22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121</v>
      </c>
      <c r="GB70" s="2"/>
      <c r="GC70" s="2"/>
      <c r="GD70" s="2">
        <v>1</v>
      </c>
      <c r="GE70" s="2"/>
      <c r="GF70" s="2">
        <v>1231875480</v>
      </c>
      <c r="GG70" s="2">
        <v>2</v>
      </c>
      <c r="GH70" s="2">
        <v>4</v>
      </c>
      <c r="GI70" s="2">
        <v>-2</v>
      </c>
      <c r="GJ70" s="2">
        <v>0</v>
      </c>
      <c r="GK70" s="2">
        <v>0</v>
      </c>
      <c r="GL70" s="2">
        <f t="shared" si="86"/>
        <v>0</v>
      </c>
      <c r="GM70" s="2">
        <f t="shared" si="87"/>
        <v>418.44</v>
      </c>
      <c r="GN70" s="2">
        <f t="shared" si="88"/>
        <v>418.44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>
        <f t="shared" si="93"/>
        <v>0</v>
      </c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>
        <v>-1</v>
      </c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119</v>
      </c>
      <c r="F71" t="str">
        <f>'1.Лок.смета.и.Акт'!B176</f>
        <v>Прайс-лист</v>
      </c>
      <c r="G71" t="str">
        <f>'1.Лок.смета.и.Акт'!C176</f>
        <v>Коммутатор Mikrotik mAP RBmAP2nD</v>
      </c>
      <c r="H71" t="s">
        <v>24</v>
      </c>
      <c r="I71">
        <f>'1.Лок.смета.и.Акт'!E176</f>
        <v>2</v>
      </c>
      <c r="J71">
        <v>0</v>
      </c>
      <c r="O71">
        <f t="shared" si="54"/>
        <v>5230.5</v>
      </c>
      <c r="P71">
        <f t="shared" si="55"/>
        <v>5230.5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34748540</v>
      </c>
      <c r="AB71">
        <f t="shared" si="65"/>
        <v>209.22</v>
      </c>
      <c r="AC71">
        <f t="shared" si="66"/>
        <v>209.22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209.22</v>
      </c>
      <c r="AL71" s="106">
        <f>'1.Лок.смета.и.Акт'!F176</f>
        <v>209.22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12.5</v>
      </c>
      <c r="BA71">
        <v>1</v>
      </c>
      <c r="BB71">
        <v>1</v>
      </c>
      <c r="BC71">
        <f>'1.Лок.смета.и.Акт'!J176</f>
        <v>12.5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4"/>
        <v>5230.5</v>
      </c>
      <c r="CQ71">
        <f t="shared" si="75"/>
        <v>2615.25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24</v>
      </c>
      <c r="DW71" t="str">
        <f>'1.Лок.смета.и.Акт'!D176</f>
        <v>ШТ</v>
      </c>
      <c r="DX71">
        <v>1</v>
      </c>
      <c r="EE71">
        <v>32653538</v>
      </c>
      <c r="EF71">
        <v>20</v>
      </c>
      <c r="EG71" t="s">
        <v>91</v>
      </c>
      <c r="EH71">
        <v>0</v>
      </c>
      <c r="EI71" t="s">
        <v>3</v>
      </c>
      <c r="EJ71">
        <v>1</v>
      </c>
      <c r="EK71">
        <v>1100</v>
      </c>
      <c r="EL71" t="s">
        <v>92</v>
      </c>
      <c r="EM71" t="s">
        <v>93</v>
      </c>
      <c r="EO71" t="s">
        <v>3</v>
      </c>
      <c r="EQ71">
        <v>0</v>
      </c>
      <c r="ER71">
        <v>209.22</v>
      </c>
      <c r="ES71" s="106">
        <f>'1.Лок.смета.и.Акт'!F176</f>
        <v>209.22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2564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121</v>
      </c>
      <c r="GD71">
        <v>1</v>
      </c>
      <c r="GF71">
        <v>1231875480</v>
      </c>
      <c r="GG71">
        <v>1</v>
      </c>
      <c r="GH71">
        <v>3</v>
      </c>
      <c r="GI71">
        <v>4</v>
      </c>
      <c r="GJ71">
        <v>0</v>
      </c>
      <c r="GK71">
        <v>0</v>
      </c>
      <c r="GL71">
        <f t="shared" si="86"/>
        <v>0</v>
      </c>
      <c r="GM71">
        <f t="shared" si="87"/>
        <v>5230.5</v>
      </c>
      <c r="GN71">
        <f t="shared" si="88"/>
        <v>5230.5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3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HC71">
        <f t="shared" si="93"/>
        <v>0</v>
      </c>
      <c r="IF71">
        <v>-1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122</v>
      </c>
      <c r="F72" s="2" t="s">
        <v>89</v>
      </c>
      <c r="G72" s="2" t="s">
        <v>123</v>
      </c>
      <c r="H72" s="2" t="s">
        <v>24</v>
      </c>
      <c r="I72" s="2">
        <f>'1.Лок.смета.и.Акт'!E179</f>
        <v>2</v>
      </c>
      <c r="J72" s="2">
        <v>0</v>
      </c>
      <c r="K72" s="2"/>
      <c r="L72" s="2"/>
      <c r="M72" s="2"/>
      <c r="N72" s="2"/>
      <c r="O72" s="2">
        <f t="shared" si="54"/>
        <v>54.68</v>
      </c>
      <c r="P72" s="2">
        <f t="shared" si="55"/>
        <v>54.68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34748518</v>
      </c>
      <c r="AB72" s="2">
        <f t="shared" si="65"/>
        <v>27.34</v>
      </c>
      <c r="AC72" s="2">
        <f t="shared" si="66"/>
        <v>27.34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27.34</v>
      </c>
      <c r="AL72" s="2">
        <v>27.34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4"/>
        <v>54.68</v>
      </c>
      <c r="CQ72" s="2">
        <f t="shared" si="75"/>
        <v>27.34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24</v>
      </c>
      <c r="DW72" s="2" t="s">
        <v>24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91</v>
      </c>
      <c r="EH72" s="2">
        <v>0</v>
      </c>
      <c r="EI72" s="2" t="s">
        <v>3</v>
      </c>
      <c r="EJ72" s="2">
        <v>1</v>
      </c>
      <c r="EK72" s="2">
        <v>1100</v>
      </c>
      <c r="EL72" s="2" t="s">
        <v>92</v>
      </c>
      <c r="EM72" s="2" t="s">
        <v>93</v>
      </c>
      <c r="EN72" s="2"/>
      <c r="EO72" s="2" t="s">
        <v>3</v>
      </c>
      <c r="EP72" s="2"/>
      <c r="EQ72" s="2">
        <v>0</v>
      </c>
      <c r="ER72" s="2">
        <v>0</v>
      </c>
      <c r="ES72" s="2">
        <v>27.34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124</v>
      </c>
      <c r="GB72" s="2"/>
      <c r="GC72" s="2"/>
      <c r="GD72" s="2">
        <v>1</v>
      </c>
      <c r="GE72" s="2"/>
      <c r="GF72" s="2">
        <v>1395469818</v>
      </c>
      <c r="GG72" s="2">
        <v>2</v>
      </c>
      <c r="GH72" s="2">
        <v>4</v>
      </c>
      <c r="GI72" s="2">
        <v>-2</v>
      </c>
      <c r="GJ72" s="2">
        <v>0</v>
      </c>
      <c r="GK72" s="2">
        <v>0</v>
      </c>
      <c r="GL72" s="2">
        <f t="shared" si="86"/>
        <v>0</v>
      </c>
      <c r="GM72" s="2">
        <f t="shared" si="87"/>
        <v>54.68</v>
      </c>
      <c r="GN72" s="2">
        <f t="shared" si="88"/>
        <v>54.68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>
        <f t="shared" si="93"/>
        <v>0</v>
      </c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>
        <v>-1</v>
      </c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122</v>
      </c>
      <c r="F73" t="str">
        <f>'1.Лок.смета.и.Акт'!B179</f>
        <v>Прайс-лист</v>
      </c>
      <c r="G73" t="str">
        <f>'1.Лок.смета.и.Акт'!C179</f>
        <v>3G Antenna teleofis RC30 SMA</v>
      </c>
      <c r="H73" t="s">
        <v>24</v>
      </c>
      <c r="I73">
        <f>'1.Лок.смета.и.Акт'!E179</f>
        <v>2</v>
      </c>
      <c r="J73">
        <v>0</v>
      </c>
      <c r="O73">
        <f t="shared" si="54"/>
        <v>683.5</v>
      </c>
      <c r="P73">
        <f t="shared" si="55"/>
        <v>683.5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34748540</v>
      </c>
      <c r="AB73">
        <f t="shared" si="65"/>
        <v>27.34</v>
      </c>
      <c r="AC73">
        <f t="shared" si="66"/>
        <v>27.34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27.34</v>
      </c>
      <c r="AL73" s="106">
        <f>'1.Лок.смета.и.Акт'!F179</f>
        <v>27.34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12.5</v>
      </c>
      <c r="BA73">
        <v>1</v>
      </c>
      <c r="BB73">
        <v>1</v>
      </c>
      <c r="BC73">
        <f>'1.Лок.смета.и.Акт'!J179</f>
        <v>12.5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4"/>
        <v>683.5</v>
      </c>
      <c r="CQ73">
        <f t="shared" si="75"/>
        <v>341.75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24</v>
      </c>
      <c r="DW73" t="str">
        <f>'1.Лок.смета.и.Акт'!D179</f>
        <v>ШТ</v>
      </c>
      <c r="DX73">
        <v>1</v>
      </c>
      <c r="EE73">
        <v>32653538</v>
      </c>
      <c r="EF73">
        <v>20</v>
      </c>
      <c r="EG73" t="s">
        <v>91</v>
      </c>
      <c r="EH73">
        <v>0</v>
      </c>
      <c r="EI73" t="s">
        <v>3</v>
      </c>
      <c r="EJ73">
        <v>1</v>
      </c>
      <c r="EK73">
        <v>1100</v>
      </c>
      <c r="EL73" t="s">
        <v>92</v>
      </c>
      <c r="EM73" t="s">
        <v>93</v>
      </c>
      <c r="EO73" t="s">
        <v>3</v>
      </c>
      <c r="EQ73">
        <v>0</v>
      </c>
      <c r="ER73">
        <v>27.34</v>
      </c>
      <c r="ES73" s="106">
        <f>'1.Лок.смета.и.Акт'!F179</f>
        <v>27.34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335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124</v>
      </c>
      <c r="GD73">
        <v>1</v>
      </c>
      <c r="GF73">
        <v>1395469818</v>
      </c>
      <c r="GG73">
        <v>1</v>
      </c>
      <c r="GH73">
        <v>3</v>
      </c>
      <c r="GI73">
        <v>4</v>
      </c>
      <c r="GJ73">
        <v>0</v>
      </c>
      <c r="GK73">
        <v>0</v>
      </c>
      <c r="GL73">
        <f t="shared" si="86"/>
        <v>0</v>
      </c>
      <c r="GM73">
        <f t="shared" si="87"/>
        <v>683.5</v>
      </c>
      <c r="GN73">
        <f t="shared" si="88"/>
        <v>683.5</v>
      </c>
      <c r="GO73">
        <f t="shared" si="89"/>
        <v>0</v>
      </c>
      <c r="GP73">
        <f t="shared" si="90"/>
        <v>0</v>
      </c>
      <c r="GR73">
        <v>1</v>
      </c>
      <c r="GS73">
        <v>1</v>
      </c>
      <c r="GT73">
        <v>0</v>
      </c>
      <c r="GU73" t="s">
        <v>3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HC73">
        <f t="shared" si="93"/>
        <v>0</v>
      </c>
      <c r="IF73">
        <v>-1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125</v>
      </c>
      <c r="F74" s="2" t="s">
        <v>89</v>
      </c>
      <c r="G74" s="2" t="s">
        <v>126</v>
      </c>
      <c r="H74" s="2" t="s">
        <v>24</v>
      </c>
      <c r="I74" s="2">
        <f>'1.Лок.смета.и.Акт'!E182</f>
        <v>2</v>
      </c>
      <c r="J74" s="2">
        <v>0</v>
      </c>
      <c r="K74" s="2"/>
      <c r="L74" s="2"/>
      <c r="M74" s="2"/>
      <c r="N74" s="2"/>
      <c r="O74" s="2">
        <f t="shared" si="54"/>
        <v>78.819999999999993</v>
      </c>
      <c r="P74" s="2">
        <f t="shared" si="55"/>
        <v>78.819999999999993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34748518</v>
      </c>
      <c r="AB74" s="2">
        <f t="shared" si="65"/>
        <v>39.409999999999997</v>
      </c>
      <c r="AC74" s="2">
        <f t="shared" si="66"/>
        <v>39.409999999999997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39.410000000000004</v>
      </c>
      <c r="AL74" s="2">
        <v>39.410000000000004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4"/>
        <v>78.819999999999993</v>
      </c>
      <c r="CQ74" s="2">
        <f t="shared" si="75"/>
        <v>39.409999999999997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24</v>
      </c>
      <c r="DW74" s="2" t="s">
        <v>24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91</v>
      </c>
      <c r="EH74" s="2">
        <v>0</v>
      </c>
      <c r="EI74" s="2" t="s">
        <v>3</v>
      </c>
      <c r="EJ74" s="2">
        <v>1</v>
      </c>
      <c r="EK74" s="2">
        <v>1100</v>
      </c>
      <c r="EL74" s="2" t="s">
        <v>92</v>
      </c>
      <c r="EM74" s="2" t="s">
        <v>93</v>
      </c>
      <c r="EN74" s="2"/>
      <c r="EO74" s="2" t="s">
        <v>3</v>
      </c>
      <c r="EP74" s="2"/>
      <c r="EQ74" s="2">
        <v>0</v>
      </c>
      <c r="ER74" s="2">
        <v>0</v>
      </c>
      <c r="ES74" s="2">
        <v>39.410000000000004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127</v>
      </c>
      <c r="GB74" s="2"/>
      <c r="GC74" s="2"/>
      <c r="GD74" s="2">
        <v>1</v>
      </c>
      <c r="GE74" s="2"/>
      <c r="GF74" s="2">
        <v>-1386174640</v>
      </c>
      <c r="GG74" s="2">
        <v>2</v>
      </c>
      <c r="GH74" s="2">
        <v>4</v>
      </c>
      <c r="GI74" s="2">
        <v>-2</v>
      </c>
      <c r="GJ74" s="2">
        <v>0</v>
      </c>
      <c r="GK74" s="2">
        <v>0</v>
      </c>
      <c r="GL74" s="2">
        <f t="shared" si="86"/>
        <v>0</v>
      </c>
      <c r="GM74" s="2">
        <f t="shared" si="87"/>
        <v>78.819999999999993</v>
      </c>
      <c r="GN74" s="2">
        <f t="shared" si="88"/>
        <v>78.819999999999993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>
        <f t="shared" si="93"/>
        <v>0</v>
      </c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>
        <v>-1</v>
      </c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125</v>
      </c>
      <c r="F75" t="str">
        <f>'1.Лок.смета.и.Акт'!B182</f>
        <v>Прайс-лист</v>
      </c>
      <c r="G75" t="str">
        <f>'1.Лок.смета.и.Акт'!C182</f>
        <v>Переходник РЭМО-FME CRC9</v>
      </c>
      <c r="H75" t="s">
        <v>24</v>
      </c>
      <c r="I75">
        <f>'1.Лок.смета.и.Акт'!E182</f>
        <v>2</v>
      </c>
      <c r="J75">
        <v>0</v>
      </c>
      <c r="O75">
        <f t="shared" si="54"/>
        <v>985.25</v>
      </c>
      <c r="P75">
        <f t="shared" si="55"/>
        <v>985.25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34748540</v>
      </c>
      <c r="AB75">
        <f t="shared" si="65"/>
        <v>39.409999999999997</v>
      </c>
      <c r="AC75">
        <f t="shared" si="66"/>
        <v>39.409999999999997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39.410000000000004</v>
      </c>
      <c r="AL75" s="106">
        <f>'1.Лок.смета.и.Акт'!F182</f>
        <v>39.410000000000004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12.5</v>
      </c>
      <c r="BA75">
        <v>1</v>
      </c>
      <c r="BB75">
        <v>1</v>
      </c>
      <c r="BC75">
        <f>'1.Лок.смета.и.Акт'!J182</f>
        <v>12.5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4"/>
        <v>985.25</v>
      </c>
      <c r="CQ75">
        <f t="shared" si="75"/>
        <v>492.62499999999994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24</v>
      </c>
      <c r="DW75" t="str">
        <f>'1.Лок.смета.и.Акт'!D182</f>
        <v>ШТ</v>
      </c>
      <c r="DX75">
        <v>1</v>
      </c>
      <c r="EE75">
        <v>32653538</v>
      </c>
      <c r="EF75">
        <v>20</v>
      </c>
      <c r="EG75" t="s">
        <v>91</v>
      </c>
      <c r="EH75">
        <v>0</v>
      </c>
      <c r="EI75" t="s">
        <v>3</v>
      </c>
      <c r="EJ75">
        <v>1</v>
      </c>
      <c r="EK75">
        <v>1100</v>
      </c>
      <c r="EL75" t="s">
        <v>92</v>
      </c>
      <c r="EM75" t="s">
        <v>93</v>
      </c>
      <c r="EO75" t="s">
        <v>3</v>
      </c>
      <c r="EQ75">
        <v>0</v>
      </c>
      <c r="ER75">
        <v>39.410000000000004</v>
      </c>
      <c r="ES75" s="106">
        <f>'1.Лок.смета.и.Акт'!F182</f>
        <v>39.410000000000004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483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127</v>
      </c>
      <c r="GD75">
        <v>1</v>
      </c>
      <c r="GF75">
        <v>-1386174640</v>
      </c>
      <c r="GG75">
        <v>1</v>
      </c>
      <c r="GH75">
        <v>3</v>
      </c>
      <c r="GI75">
        <v>4</v>
      </c>
      <c r="GJ75">
        <v>0</v>
      </c>
      <c r="GK75">
        <v>0</v>
      </c>
      <c r="GL75">
        <f t="shared" si="86"/>
        <v>0</v>
      </c>
      <c r="GM75">
        <f t="shared" si="87"/>
        <v>985.25</v>
      </c>
      <c r="GN75">
        <f t="shared" si="88"/>
        <v>985.25</v>
      </c>
      <c r="GO75">
        <f t="shared" si="89"/>
        <v>0</v>
      </c>
      <c r="GP75">
        <f t="shared" si="90"/>
        <v>0</v>
      </c>
      <c r="GR75">
        <v>1</v>
      </c>
      <c r="GS75">
        <v>1</v>
      </c>
      <c r="GT75">
        <v>0</v>
      </c>
      <c r="GU75" t="s">
        <v>3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HC75">
        <f t="shared" si="93"/>
        <v>0</v>
      </c>
      <c r="IF75">
        <v>-1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128</v>
      </c>
      <c r="F76" s="2" t="s">
        <v>89</v>
      </c>
      <c r="G76" s="2" t="s">
        <v>129</v>
      </c>
      <c r="H76" s="2" t="s">
        <v>24</v>
      </c>
      <c r="I76" s="2">
        <f>'1.Лок.смета.и.Акт'!E185</f>
        <v>2</v>
      </c>
      <c r="J76" s="2">
        <v>0</v>
      </c>
      <c r="K76" s="2"/>
      <c r="L76" s="2"/>
      <c r="M76" s="2"/>
      <c r="N76" s="2"/>
      <c r="O76" s="2">
        <f t="shared" si="54"/>
        <v>301.92</v>
      </c>
      <c r="P76" s="2">
        <f t="shared" si="55"/>
        <v>301.92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34748518</v>
      </c>
      <c r="AB76" s="2">
        <f t="shared" si="65"/>
        <v>150.96</v>
      </c>
      <c r="AC76" s="2">
        <f t="shared" si="66"/>
        <v>150.96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150.96</v>
      </c>
      <c r="AL76" s="2">
        <v>150.96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4"/>
        <v>301.92</v>
      </c>
      <c r="CQ76" s="2">
        <f t="shared" si="75"/>
        <v>150.96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1013</v>
      </c>
      <c r="DV76" s="2" t="s">
        <v>24</v>
      </c>
      <c r="DW76" s="2" t="s">
        <v>24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91</v>
      </c>
      <c r="EH76" s="2">
        <v>0</v>
      </c>
      <c r="EI76" s="2" t="s">
        <v>3</v>
      </c>
      <c r="EJ76" s="2">
        <v>1</v>
      </c>
      <c r="EK76" s="2">
        <v>1100</v>
      </c>
      <c r="EL76" s="2" t="s">
        <v>92</v>
      </c>
      <c r="EM76" s="2" t="s">
        <v>93</v>
      </c>
      <c r="EN76" s="2"/>
      <c r="EO76" s="2" t="s">
        <v>3</v>
      </c>
      <c r="EP76" s="2"/>
      <c r="EQ76" s="2">
        <v>0</v>
      </c>
      <c r="ER76" s="2">
        <v>0</v>
      </c>
      <c r="ES76" s="2">
        <v>150.96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130</v>
      </c>
      <c r="GB76" s="2"/>
      <c r="GC76" s="2"/>
      <c r="GD76" s="2">
        <v>1</v>
      </c>
      <c r="GE76" s="2"/>
      <c r="GF76" s="2">
        <v>1175927253</v>
      </c>
      <c r="GG76" s="2">
        <v>2</v>
      </c>
      <c r="GH76" s="2">
        <v>4</v>
      </c>
      <c r="GI76" s="2">
        <v>-2</v>
      </c>
      <c r="GJ76" s="2">
        <v>0</v>
      </c>
      <c r="GK76" s="2">
        <v>0</v>
      </c>
      <c r="GL76" s="2">
        <f t="shared" si="86"/>
        <v>0</v>
      </c>
      <c r="GM76" s="2">
        <f t="shared" si="87"/>
        <v>301.92</v>
      </c>
      <c r="GN76" s="2">
        <f t="shared" si="88"/>
        <v>301.92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>
        <f t="shared" si="93"/>
        <v>0</v>
      </c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>
        <v>-1</v>
      </c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128</v>
      </c>
      <c r="F77" t="str">
        <f>'1.Лок.смета.и.Акт'!B185</f>
        <v>Прайс-лист</v>
      </c>
      <c r="G77" t="str">
        <f>'1.Лок.смета.и.Акт'!C185</f>
        <v>Щит ЩМП-1-0 (395х310х220) IP31</v>
      </c>
      <c r="H77" t="s">
        <v>24</v>
      </c>
      <c r="I77">
        <f>'1.Лок.смета.и.Акт'!E185</f>
        <v>2</v>
      </c>
      <c r="J77">
        <v>0</v>
      </c>
      <c r="O77">
        <f t="shared" si="54"/>
        <v>3774</v>
      </c>
      <c r="P77">
        <f t="shared" si="55"/>
        <v>3774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34748540</v>
      </c>
      <c r="AB77">
        <f t="shared" si="65"/>
        <v>150.96</v>
      </c>
      <c r="AC77">
        <f t="shared" si="66"/>
        <v>150.96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150.96</v>
      </c>
      <c r="AL77" s="106">
        <f>'1.Лок.смета.и.Акт'!F185</f>
        <v>150.96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12.5</v>
      </c>
      <c r="BA77">
        <v>1</v>
      </c>
      <c r="BB77">
        <v>1</v>
      </c>
      <c r="BC77">
        <f>'1.Лок.смета.и.Акт'!J185</f>
        <v>12.5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4"/>
        <v>3774</v>
      </c>
      <c r="CQ77">
        <f t="shared" si="75"/>
        <v>1887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24</v>
      </c>
      <c r="DW77" t="str">
        <f>'1.Лок.смета.и.Акт'!D185</f>
        <v>ШТ</v>
      </c>
      <c r="DX77">
        <v>1</v>
      </c>
      <c r="EE77">
        <v>32653538</v>
      </c>
      <c r="EF77">
        <v>20</v>
      </c>
      <c r="EG77" t="s">
        <v>91</v>
      </c>
      <c r="EH77">
        <v>0</v>
      </c>
      <c r="EI77" t="s">
        <v>3</v>
      </c>
      <c r="EJ77">
        <v>1</v>
      </c>
      <c r="EK77">
        <v>1100</v>
      </c>
      <c r="EL77" t="s">
        <v>92</v>
      </c>
      <c r="EM77" t="s">
        <v>93</v>
      </c>
      <c r="EO77" t="s">
        <v>3</v>
      </c>
      <c r="EQ77">
        <v>0</v>
      </c>
      <c r="ER77">
        <v>150.96</v>
      </c>
      <c r="ES77" s="106">
        <f>'1.Лок.смета.и.Акт'!F185</f>
        <v>150.96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1850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130</v>
      </c>
      <c r="GD77">
        <v>1</v>
      </c>
      <c r="GF77">
        <v>1175927253</v>
      </c>
      <c r="GG77">
        <v>1</v>
      </c>
      <c r="GH77">
        <v>3</v>
      </c>
      <c r="GI77">
        <v>4</v>
      </c>
      <c r="GJ77">
        <v>0</v>
      </c>
      <c r="GK77">
        <v>0</v>
      </c>
      <c r="GL77">
        <f t="shared" si="86"/>
        <v>0</v>
      </c>
      <c r="GM77">
        <f t="shared" si="87"/>
        <v>3774</v>
      </c>
      <c r="GN77">
        <f t="shared" si="88"/>
        <v>3774</v>
      </c>
      <c r="GO77">
        <f t="shared" si="89"/>
        <v>0</v>
      </c>
      <c r="GP77">
        <f t="shared" si="90"/>
        <v>0</v>
      </c>
      <c r="GR77">
        <v>1</v>
      </c>
      <c r="GS77">
        <v>1</v>
      </c>
      <c r="GT77">
        <v>0</v>
      </c>
      <c r="GU77" t="s">
        <v>3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HC77">
        <f t="shared" si="93"/>
        <v>0</v>
      </c>
      <c r="IF77">
        <v>-1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131</v>
      </c>
      <c r="F78" s="2" t="s">
        <v>89</v>
      </c>
      <c r="G78" s="2" t="s">
        <v>132</v>
      </c>
      <c r="H78" s="2" t="s">
        <v>24</v>
      </c>
      <c r="I78" s="2">
        <f>'1.Лок.смета.и.Акт'!E188</f>
        <v>2</v>
      </c>
      <c r="J78" s="2">
        <v>0</v>
      </c>
      <c r="K78" s="2"/>
      <c r="L78" s="2"/>
      <c r="M78" s="2"/>
      <c r="N78" s="2"/>
      <c r="O78" s="2">
        <f t="shared" si="54"/>
        <v>16905.88</v>
      </c>
      <c r="P78" s="2">
        <f t="shared" si="55"/>
        <v>16905.88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34748518</v>
      </c>
      <c r="AB78" s="2">
        <f t="shared" si="65"/>
        <v>8452.94</v>
      </c>
      <c r="AC78" s="2">
        <f t="shared" si="66"/>
        <v>8452.94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8452.94</v>
      </c>
      <c r="AL78" s="2">
        <v>8452.94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4"/>
        <v>16905.88</v>
      </c>
      <c r="CQ78" s="2">
        <f t="shared" si="75"/>
        <v>8452.94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1013</v>
      </c>
      <c r="DV78" s="2" t="s">
        <v>24</v>
      </c>
      <c r="DW78" s="2" t="s">
        <v>24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91</v>
      </c>
      <c r="EH78" s="2">
        <v>0</v>
      </c>
      <c r="EI78" s="2" t="s">
        <v>3</v>
      </c>
      <c r="EJ78" s="2">
        <v>1</v>
      </c>
      <c r="EK78" s="2">
        <v>1100</v>
      </c>
      <c r="EL78" s="2" t="s">
        <v>92</v>
      </c>
      <c r="EM78" s="2" t="s">
        <v>93</v>
      </c>
      <c r="EN78" s="2"/>
      <c r="EO78" s="2" t="s">
        <v>3</v>
      </c>
      <c r="EP78" s="2"/>
      <c r="EQ78" s="2">
        <v>0</v>
      </c>
      <c r="ER78" s="2">
        <v>0</v>
      </c>
      <c r="ES78" s="2">
        <v>8452.94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133</v>
      </c>
      <c r="GB78" s="2"/>
      <c r="GC78" s="2"/>
      <c r="GD78" s="2">
        <v>1</v>
      </c>
      <c r="GE78" s="2"/>
      <c r="GF78" s="2">
        <v>-697413049</v>
      </c>
      <c r="GG78" s="2">
        <v>2</v>
      </c>
      <c r="GH78" s="2">
        <v>4</v>
      </c>
      <c r="GI78" s="2">
        <v>-2</v>
      </c>
      <c r="GJ78" s="2">
        <v>0</v>
      </c>
      <c r="GK78" s="2">
        <v>0</v>
      </c>
      <c r="GL78" s="2">
        <f t="shared" si="86"/>
        <v>0</v>
      </c>
      <c r="GM78" s="2">
        <f t="shared" si="87"/>
        <v>16905.88</v>
      </c>
      <c r="GN78" s="2">
        <f t="shared" si="88"/>
        <v>16905.88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>
        <f t="shared" si="93"/>
        <v>0</v>
      </c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>
        <v>-1</v>
      </c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131</v>
      </c>
      <c r="F79" t="str">
        <f>'1.Лок.смета.и.Акт'!B188</f>
        <v>Прайс-лист</v>
      </c>
      <c r="G79" t="str">
        <f>'1.Лок.смета.и.Акт'!C188</f>
        <v>Маршрутизатор Модуль - ТМ11.01</v>
      </c>
      <c r="H79" t="s">
        <v>24</v>
      </c>
      <c r="I79">
        <f>'1.Лок.смета.и.Акт'!E188</f>
        <v>2</v>
      </c>
      <c r="J79">
        <v>0</v>
      </c>
      <c r="O79">
        <f t="shared" si="54"/>
        <v>211323.5</v>
      </c>
      <c r="P79">
        <f t="shared" si="55"/>
        <v>211323.5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34748540</v>
      </c>
      <c r="AB79">
        <f t="shared" si="65"/>
        <v>8452.94</v>
      </c>
      <c r="AC79">
        <f t="shared" si="66"/>
        <v>8452.94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8452.94</v>
      </c>
      <c r="AL79" s="106">
        <f>'1.Лок.смета.и.Акт'!F188</f>
        <v>8452.94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12.5</v>
      </c>
      <c r="BA79">
        <v>1</v>
      </c>
      <c r="BB79">
        <v>1</v>
      </c>
      <c r="BC79">
        <f>'1.Лок.смета.и.Акт'!J188</f>
        <v>12.5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4"/>
        <v>211323.5</v>
      </c>
      <c r="CQ79">
        <f t="shared" si="75"/>
        <v>105661.75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24</v>
      </c>
      <c r="DW79" t="str">
        <f>'1.Лок.смета.и.Акт'!D188</f>
        <v>ШТ</v>
      </c>
      <c r="DX79">
        <v>1</v>
      </c>
      <c r="EE79">
        <v>32653538</v>
      </c>
      <c r="EF79">
        <v>20</v>
      </c>
      <c r="EG79" t="s">
        <v>91</v>
      </c>
      <c r="EH79">
        <v>0</v>
      </c>
      <c r="EI79" t="s">
        <v>3</v>
      </c>
      <c r="EJ79">
        <v>1</v>
      </c>
      <c r="EK79">
        <v>1100</v>
      </c>
      <c r="EL79" t="s">
        <v>92</v>
      </c>
      <c r="EM79" t="s">
        <v>93</v>
      </c>
      <c r="EO79" t="s">
        <v>3</v>
      </c>
      <c r="EQ79">
        <v>0</v>
      </c>
      <c r="ER79">
        <v>8452.94</v>
      </c>
      <c r="ES79" s="106">
        <f>'1.Лок.смета.и.Акт'!F188</f>
        <v>8452.94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103590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133</v>
      </c>
      <c r="GD79">
        <v>1</v>
      </c>
      <c r="GF79">
        <v>-697413049</v>
      </c>
      <c r="GG79">
        <v>1</v>
      </c>
      <c r="GH79">
        <v>3</v>
      </c>
      <c r="GI79">
        <v>4</v>
      </c>
      <c r="GJ79">
        <v>0</v>
      </c>
      <c r="GK79">
        <v>0</v>
      </c>
      <c r="GL79">
        <f t="shared" si="86"/>
        <v>0</v>
      </c>
      <c r="GM79">
        <f t="shared" si="87"/>
        <v>211323.5</v>
      </c>
      <c r="GN79">
        <f t="shared" si="88"/>
        <v>211323.5</v>
      </c>
      <c r="GO79">
        <f t="shared" si="89"/>
        <v>0</v>
      </c>
      <c r="GP79">
        <f t="shared" si="90"/>
        <v>0</v>
      </c>
      <c r="GR79">
        <v>1</v>
      </c>
      <c r="GS79">
        <v>1</v>
      </c>
      <c r="GT79">
        <v>0</v>
      </c>
      <c r="GU79" t="s">
        <v>3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HC79">
        <f t="shared" si="93"/>
        <v>0</v>
      </c>
      <c r="IF79">
        <v>-1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134</v>
      </c>
      <c r="F80" s="2" t="s">
        <v>89</v>
      </c>
      <c r="G80" s="2" t="s">
        <v>135</v>
      </c>
      <c r="H80" s="2" t="s">
        <v>24</v>
      </c>
      <c r="I80" s="2">
        <f>'1.Лок.смета.и.Акт'!E191</f>
        <v>2</v>
      </c>
      <c r="J80" s="2">
        <v>0</v>
      </c>
      <c r="K80" s="2"/>
      <c r="L80" s="2"/>
      <c r="M80" s="2"/>
      <c r="N80" s="2"/>
      <c r="O80" s="2">
        <f t="shared" si="54"/>
        <v>2291.54</v>
      </c>
      <c r="P80" s="2">
        <f t="shared" si="55"/>
        <v>2291.54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34748518</v>
      </c>
      <c r="AB80" s="2">
        <f t="shared" si="65"/>
        <v>1145.77</v>
      </c>
      <c r="AC80" s="2">
        <f t="shared" si="66"/>
        <v>1145.77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1145.77</v>
      </c>
      <c r="AL80" s="2">
        <v>1145.77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4"/>
        <v>2291.54</v>
      </c>
      <c r="CQ80" s="2">
        <f t="shared" si="75"/>
        <v>1145.77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1013</v>
      </c>
      <c r="DV80" s="2" t="s">
        <v>24</v>
      </c>
      <c r="DW80" s="2" t="s">
        <v>24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91</v>
      </c>
      <c r="EH80" s="2">
        <v>0</v>
      </c>
      <c r="EI80" s="2" t="s">
        <v>3</v>
      </c>
      <c r="EJ80" s="2">
        <v>1</v>
      </c>
      <c r="EK80" s="2">
        <v>1100</v>
      </c>
      <c r="EL80" s="2" t="s">
        <v>92</v>
      </c>
      <c r="EM80" s="2" t="s">
        <v>93</v>
      </c>
      <c r="EN80" s="2"/>
      <c r="EO80" s="2" t="s">
        <v>3</v>
      </c>
      <c r="EP80" s="2"/>
      <c r="EQ80" s="2">
        <v>0</v>
      </c>
      <c r="ER80" s="2">
        <v>0</v>
      </c>
      <c r="ES80" s="2">
        <v>1145.77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136</v>
      </c>
      <c r="GB80" s="2"/>
      <c r="GC80" s="2"/>
      <c r="GD80" s="2">
        <v>1</v>
      </c>
      <c r="GE80" s="2"/>
      <c r="GF80" s="2">
        <v>-339180012</v>
      </c>
      <c r="GG80" s="2">
        <v>2</v>
      </c>
      <c r="GH80" s="2">
        <v>4</v>
      </c>
      <c r="GI80" s="2">
        <v>-2</v>
      </c>
      <c r="GJ80" s="2">
        <v>0</v>
      </c>
      <c r="GK80" s="2">
        <v>0</v>
      </c>
      <c r="GL80" s="2">
        <f t="shared" si="86"/>
        <v>0</v>
      </c>
      <c r="GM80" s="2">
        <f t="shared" si="87"/>
        <v>2291.54</v>
      </c>
      <c r="GN80" s="2">
        <f t="shared" si="88"/>
        <v>2291.54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>
        <f t="shared" si="93"/>
        <v>0</v>
      </c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>
        <v>-1</v>
      </c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45" x14ac:dyDescent="0.2">
      <c r="A81">
        <v>17</v>
      </c>
      <c r="B81">
        <v>1</v>
      </c>
      <c r="E81" t="s">
        <v>134</v>
      </c>
      <c r="F81" t="str">
        <f>'1.Лок.смета.и.Акт'!B191</f>
        <v>Прайс-лист</v>
      </c>
      <c r="G81" t="str">
        <f>'1.Лок.смета.и.Акт'!C191</f>
        <v>Устройство ввода-вывода аналоговых и цифровых сигналов ИК УВВ 17.22</v>
      </c>
      <c r="H81" t="s">
        <v>24</v>
      </c>
      <c r="I81">
        <f>'1.Лок.смета.и.Акт'!E191</f>
        <v>2</v>
      </c>
      <c r="J81">
        <v>0</v>
      </c>
      <c r="O81">
        <f t="shared" si="54"/>
        <v>28644.25</v>
      </c>
      <c r="P81">
        <f t="shared" si="55"/>
        <v>28644.25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34748540</v>
      </c>
      <c r="AB81">
        <f t="shared" si="65"/>
        <v>1145.77</v>
      </c>
      <c r="AC81">
        <f t="shared" si="66"/>
        <v>1145.77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1145.77</v>
      </c>
      <c r="AL81" s="106">
        <f>'1.Лок.смета.и.Акт'!F191</f>
        <v>1145.77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12.5</v>
      </c>
      <c r="BA81">
        <v>1</v>
      </c>
      <c r="BB81">
        <v>1</v>
      </c>
      <c r="BC81">
        <f>'1.Лок.смета.и.Акт'!J191</f>
        <v>12.5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4"/>
        <v>28644.25</v>
      </c>
      <c r="CQ81">
        <f t="shared" si="75"/>
        <v>14322.125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24</v>
      </c>
      <c r="DW81" t="str">
        <f>'1.Лок.смета.и.Акт'!D191</f>
        <v>ШТ</v>
      </c>
      <c r="DX81">
        <v>1</v>
      </c>
      <c r="EE81">
        <v>32653538</v>
      </c>
      <c r="EF81">
        <v>20</v>
      </c>
      <c r="EG81" t="s">
        <v>91</v>
      </c>
      <c r="EH81">
        <v>0</v>
      </c>
      <c r="EI81" t="s">
        <v>3</v>
      </c>
      <c r="EJ81">
        <v>1</v>
      </c>
      <c r="EK81">
        <v>1100</v>
      </c>
      <c r="EL81" t="s">
        <v>92</v>
      </c>
      <c r="EM81" t="s">
        <v>93</v>
      </c>
      <c r="EO81" t="s">
        <v>3</v>
      </c>
      <c r="EQ81">
        <v>0</v>
      </c>
      <c r="ER81">
        <v>1145.77</v>
      </c>
      <c r="ES81" s="106">
        <f>'1.Лок.смета.и.Акт'!F191</f>
        <v>1145.77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14041.22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136</v>
      </c>
      <c r="GD81">
        <v>1</v>
      </c>
      <c r="GF81">
        <v>-339180012</v>
      </c>
      <c r="GG81">
        <v>1</v>
      </c>
      <c r="GH81">
        <v>3</v>
      </c>
      <c r="GI81">
        <v>4</v>
      </c>
      <c r="GJ81">
        <v>0</v>
      </c>
      <c r="GK81">
        <v>0</v>
      </c>
      <c r="GL81">
        <f t="shared" si="86"/>
        <v>0</v>
      </c>
      <c r="GM81">
        <f t="shared" si="87"/>
        <v>28644.25</v>
      </c>
      <c r="GN81">
        <f t="shared" si="88"/>
        <v>28644.25</v>
      </c>
      <c r="GO81">
        <f t="shared" si="89"/>
        <v>0</v>
      </c>
      <c r="GP81">
        <f t="shared" si="90"/>
        <v>0</v>
      </c>
      <c r="GR81">
        <v>1</v>
      </c>
      <c r="GS81">
        <v>1</v>
      </c>
      <c r="GT81">
        <v>0</v>
      </c>
      <c r="GU81" t="s">
        <v>3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HC81">
        <f t="shared" si="93"/>
        <v>0</v>
      </c>
      <c r="IF81">
        <v>-1</v>
      </c>
      <c r="IK81">
        <v>0</v>
      </c>
    </row>
    <row r="82" spans="1:245" x14ac:dyDescent="0.2">
      <c r="IF82">
        <v>-1</v>
      </c>
    </row>
    <row r="83" spans="1:245" x14ac:dyDescent="0.2">
      <c r="A83" s="3">
        <v>51</v>
      </c>
      <c r="B83" s="3">
        <f>B20</f>
        <v>1</v>
      </c>
      <c r="C83" s="3">
        <f>A20</f>
        <v>3</v>
      </c>
      <c r="D83" s="3">
        <f>ROW(A20)</f>
        <v>20</v>
      </c>
      <c r="E83" s="3"/>
      <c r="F83" s="3" t="str">
        <f>IF(F20&lt;&gt;"",F20,"")</f>
        <v>Новая локальная смета</v>
      </c>
      <c r="G83" s="3" t="str">
        <f>IF(G20&lt;&gt;"",G20,"")</f>
        <v>Новая локальная смета</v>
      </c>
      <c r="H83" s="3">
        <v>0</v>
      </c>
      <c r="I83" s="3"/>
      <c r="J83" s="3"/>
      <c r="K83" s="3"/>
      <c r="L83" s="3"/>
      <c r="M83" s="3"/>
      <c r="N83" s="3"/>
      <c r="O83" s="3">
        <f t="shared" ref="O83:T83" si="94">ROUND(AB83,2)</f>
        <v>42244.6</v>
      </c>
      <c r="P83" s="3">
        <f t="shared" si="94"/>
        <v>36836.949999999997</v>
      </c>
      <c r="Q83" s="3">
        <f t="shared" si="94"/>
        <v>852.81</v>
      </c>
      <c r="R83" s="3">
        <f t="shared" si="94"/>
        <v>102.36</v>
      </c>
      <c r="S83" s="3">
        <f t="shared" si="94"/>
        <v>4554.84</v>
      </c>
      <c r="T83" s="3">
        <f t="shared" si="94"/>
        <v>0</v>
      </c>
      <c r="U83" s="3">
        <f>AH83</f>
        <v>356.06594749999999</v>
      </c>
      <c r="V83" s="3">
        <f>AI83</f>
        <v>7.7554389799999992</v>
      </c>
      <c r="W83" s="3">
        <f>ROUND(AJ83,2)</f>
        <v>0</v>
      </c>
      <c r="X83" s="3">
        <f>ROUND(AK83,2)</f>
        <v>3277.9</v>
      </c>
      <c r="Y83" s="3">
        <f>ROUND(AL83,2)</f>
        <v>2081.63</v>
      </c>
      <c r="Z83" s="3"/>
      <c r="AA83" s="3"/>
      <c r="AB83" s="3">
        <f>ROUND(SUMIF(AA24:AA81,"=34748518",O24:O81),2)</f>
        <v>42244.6</v>
      </c>
      <c r="AC83" s="3">
        <f>ROUND(SUMIF(AA24:AA81,"=34748518",P24:P81),2)</f>
        <v>36836.949999999997</v>
      </c>
      <c r="AD83" s="3">
        <f>ROUND(SUMIF(AA24:AA81,"=34748518",Q24:Q81),2)</f>
        <v>852.81</v>
      </c>
      <c r="AE83" s="3">
        <f>ROUND(SUMIF(AA24:AA81,"=34748518",R24:R81),2)</f>
        <v>102.36</v>
      </c>
      <c r="AF83" s="3">
        <f>ROUND(SUMIF(AA24:AA81,"=34748518",S24:S81),2)</f>
        <v>4554.84</v>
      </c>
      <c r="AG83" s="3">
        <f>ROUND(SUMIF(AA24:AA81,"=34748518",T24:T81),2)</f>
        <v>0</v>
      </c>
      <c r="AH83" s="3">
        <f>SUMIF(AA24:AA81,"=34748518",U24:U81)</f>
        <v>356.06594749999999</v>
      </c>
      <c r="AI83" s="3">
        <f>SUMIF(AA24:AA81,"=34748518",V24:V81)</f>
        <v>7.7554389799999992</v>
      </c>
      <c r="AJ83" s="3">
        <f>ROUND(SUMIF(AA24:AA81,"=34748518",W24:W81),2)</f>
        <v>0</v>
      </c>
      <c r="AK83" s="3">
        <f>ROUND(SUMIF(AA24:AA81,"=34748518",X24:X81),2)</f>
        <v>3277.9</v>
      </c>
      <c r="AL83" s="3">
        <f>ROUND(SUMIF(AA24:AA81,"=34748518",Y24:Y81),2)</f>
        <v>2081.63</v>
      </c>
      <c r="AM83" s="3"/>
      <c r="AN83" s="3"/>
      <c r="AO83" s="3">
        <f t="shared" ref="AO83:BC83" si="95">ROUND(BX83,2)</f>
        <v>0</v>
      </c>
      <c r="AP83" s="3">
        <f t="shared" si="95"/>
        <v>0</v>
      </c>
      <c r="AQ83" s="3">
        <f t="shared" si="95"/>
        <v>0</v>
      </c>
      <c r="AR83" s="3">
        <f t="shared" si="95"/>
        <v>47604.13</v>
      </c>
      <c r="AS83" s="3">
        <f t="shared" si="95"/>
        <v>35956.699999999997</v>
      </c>
      <c r="AT83" s="3">
        <f t="shared" si="95"/>
        <v>3952.25</v>
      </c>
      <c r="AU83" s="3">
        <f t="shared" si="95"/>
        <v>7695.18</v>
      </c>
      <c r="AV83" s="3">
        <f t="shared" si="95"/>
        <v>36836.949999999997</v>
      </c>
      <c r="AW83" s="3">
        <f t="shared" si="95"/>
        <v>36836.949999999997</v>
      </c>
      <c r="AX83" s="3">
        <f t="shared" si="95"/>
        <v>0</v>
      </c>
      <c r="AY83" s="3">
        <f t="shared" si="95"/>
        <v>36836.949999999997</v>
      </c>
      <c r="AZ83" s="3">
        <f t="shared" si="95"/>
        <v>0</v>
      </c>
      <c r="BA83" s="3">
        <f t="shared" si="95"/>
        <v>0</v>
      </c>
      <c r="BB83" s="3">
        <f t="shared" si="95"/>
        <v>0</v>
      </c>
      <c r="BC83" s="3">
        <f t="shared" si="95"/>
        <v>0</v>
      </c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>
        <f>ROUND(SUMIF(AA24:AA81,"=34748518",FQ24:FQ81),2)</f>
        <v>0</v>
      </c>
      <c r="BY83" s="3">
        <f>ROUND(SUMIF(AA24:AA81,"=34748518",FR24:FR81),2)</f>
        <v>0</v>
      </c>
      <c r="BZ83" s="3">
        <f>ROUND(SUMIF(AA24:AA81,"=34748518",GL24:GL81),2)</f>
        <v>0</v>
      </c>
      <c r="CA83" s="3">
        <f>ROUND(SUMIF(AA24:AA81,"=34748518",GM24:GM81),2)</f>
        <v>47604.13</v>
      </c>
      <c r="CB83" s="3">
        <f>ROUND(SUMIF(AA24:AA81,"=34748518",GN24:GN81),2)</f>
        <v>35956.699999999997</v>
      </c>
      <c r="CC83" s="3">
        <f>ROUND(SUMIF(AA24:AA81,"=34748518",GO24:GO81),2)</f>
        <v>3952.25</v>
      </c>
      <c r="CD83" s="3">
        <f>ROUND(SUMIF(AA24:AA81,"=34748518",GP24:GP81),2)</f>
        <v>7695.18</v>
      </c>
      <c r="CE83" s="3">
        <f>AC83-BX83</f>
        <v>36836.949999999997</v>
      </c>
      <c r="CF83" s="3">
        <f>AC83-BY83</f>
        <v>36836.949999999997</v>
      </c>
      <c r="CG83" s="3">
        <f>BX83-BZ83</f>
        <v>0</v>
      </c>
      <c r="CH83" s="3">
        <f>AC83-BX83-BY83+BZ83</f>
        <v>36836.949999999997</v>
      </c>
      <c r="CI83" s="3">
        <f>BY83-BZ83</f>
        <v>0</v>
      </c>
      <c r="CJ83" s="3">
        <f>ROUND(SUMIF(AA24:AA81,"=34748518",GX24:GX81),2)</f>
        <v>0</v>
      </c>
      <c r="CK83" s="3">
        <f>ROUND(SUMIF(AA24:AA81,"=34748518",GY24:GY81),2)</f>
        <v>0</v>
      </c>
      <c r="CL83" s="3">
        <f>ROUND(SUMIF(AA24:AA81,"=34748518",GZ24:GZ81),2)</f>
        <v>0</v>
      </c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4">
        <f t="shared" ref="DG83:DL83" si="96">ROUND(DT83,2)</f>
        <v>549829.06000000006</v>
      </c>
      <c r="DH83" s="4">
        <f t="shared" si="96"/>
        <v>460461.78</v>
      </c>
      <c r="DI83" s="4">
        <f t="shared" si="96"/>
        <v>10660.09</v>
      </c>
      <c r="DJ83" s="4">
        <f t="shared" si="96"/>
        <v>1279.56</v>
      </c>
      <c r="DK83" s="4">
        <f t="shared" si="96"/>
        <v>78707.19</v>
      </c>
      <c r="DL83" s="4">
        <f t="shared" si="96"/>
        <v>0</v>
      </c>
      <c r="DM83" s="4">
        <f>DZ83</f>
        <v>356.06594749999999</v>
      </c>
      <c r="DN83" s="4">
        <f>EA83</f>
        <v>7.7554389799999992</v>
      </c>
      <c r="DO83" s="4">
        <f>ROUND(EB83,2)</f>
        <v>0</v>
      </c>
      <c r="DP83" s="4">
        <f>ROUND(EC83,2)</f>
        <v>55125.02</v>
      </c>
      <c r="DQ83" s="4">
        <f>ROUND(ED83,2)</f>
        <v>34728.89</v>
      </c>
      <c r="DR83" s="4"/>
      <c r="DS83" s="4"/>
      <c r="DT83" s="4">
        <f>ROUND(SUMIF(AA24:AA81,"=34748540",O24:O81),2)</f>
        <v>549829.06000000006</v>
      </c>
      <c r="DU83" s="4">
        <f>ROUND(SUMIF(AA24:AA81,"=34748540",P24:P81),2)</f>
        <v>460461.78</v>
      </c>
      <c r="DV83" s="4">
        <f>ROUND(SUMIF(AA24:AA81,"=34748540",Q24:Q81),2)</f>
        <v>10660.09</v>
      </c>
      <c r="DW83" s="4">
        <f>ROUND(SUMIF(AA24:AA81,"=34748540",R24:R81),2)</f>
        <v>1279.56</v>
      </c>
      <c r="DX83" s="4">
        <f>ROUND(SUMIF(AA24:AA81,"=34748540",S24:S81),2)</f>
        <v>78707.19</v>
      </c>
      <c r="DY83" s="4">
        <f>ROUND(SUMIF(AA24:AA81,"=34748540",T24:T81),2)</f>
        <v>0</v>
      </c>
      <c r="DZ83" s="4">
        <f>SUMIF(AA24:AA81,"=34748540",U24:U81)</f>
        <v>356.06594749999999</v>
      </c>
      <c r="EA83" s="4">
        <f>SUMIF(AA24:AA81,"=34748540",V24:V81)</f>
        <v>7.7554389799999992</v>
      </c>
      <c r="EB83" s="4">
        <f>ROUND(SUMIF(AA24:AA81,"=34748540",W24:W81),2)</f>
        <v>0</v>
      </c>
      <c r="EC83" s="4">
        <f>ROUND(SUMIF(AA24:AA81,"=34748540",X24:X81),2)</f>
        <v>55125.02</v>
      </c>
      <c r="ED83" s="4">
        <f>ROUND(SUMIF(AA24:AA81,"=34748540",Y24:Y81),2)</f>
        <v>34728.89</v>
      </c>
      <c r="EE83" s="4"/>
      <c r="EF83" s="4"/>
      <c r="EG83" s="4">
        <f t="shared" ref="EG83:EU83" si="97">ROUND(FP83,2)</f>
        <v>0</v>
      </c>
      <c r="EH83" s="4">
        <f t="shared" si="97"/>
        <v>0</v>
      </c>
      <c r="EI83" s="4">
        <f t="shared" si="97"/>
        <v>0</v>
      </c>
      <c r="EJ83" s="4">
        <f t="shared" si="97"/>
        <v>639682.97</v>
      </c>
      <c r="EK83" s="4">
        <f t="shared" si="97"/>
        <v>449458.53</v>
      </c>
      <c r="EL83" s="4">
        <f t="shared" si="97"/>
        <v>49402.85</v>
      </c>
      <c r="EM83" s="4">
        <f t="shared" si="97"/>
        <v>140821.59</v>
      </c>
      <c r="EN83" s="4">
        <f t="shared" si="97"/>
        <v>460461.78</v>
      </c>
      <c r="EO83" s="4">
        <f t="shared" si="97"/>
        <v>460461.78</v>
      </c>
      <c r="EP83" s="4">
        <f t="shared" si="97"/>
        <v>0</v>
      </c>
      <c r="EQ83" s="4">
        <f t="shared" si="97"/>
        <v>460461.78</v>
      </c>
      <c r="ER83" s="4">
        <f t="shared" si="97"/>
        <v>0</v>
      </c>
      <c r="ES83" s="4">
        <f t="shared" si="97"/>
        <v>0</v>
      </c>
      <c r="ET83" s="4">
        <f t="shared" si="97"/>
        <v>0</v>
      </c>
      <c r="EU83" s="4">
        <f t="shared" si="97"/>
        <v>0</v>
      </c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>
        <f>ROUND(SUMIF(AA24:AA81,"=34748540",FQ24:FQ81),2)</f>
        <v>0</v>
      </c>
      <c r="FQ83" s="4">
        <f>ROUND(SUMIF(AA24:AA81,"=34748540",FR24:FR81),2)</f>
        <v>0</v>
      </c>
      <c r="FR83" s="4">
        <f>ROUND(SUMIF(AA24:AA81,"=34748540",GL24:GL81),2)</f>
        <v>0</v>
      </c>
      <c r="FS83" s="4">
        <f>ROUND(SUMIF(AA24:AA81,"=34748540",GM24:GM81),2)</f>
        <v>639682.97</v>
      </c>
      <c r="FT83" s="4">
        <f>ROUND(SUMIF(AA24:AA81,"=34748540",GN24:GN81),2)</f>
        <v>449458.53</v>
      </c>
      <c r="FU83" s="4">
        <f>ROUND(SUMIF(AA24:AA81,"=34748540",GO24:GO81),2)</f>
        <v>49402.85</v>
      </c>
      <c r="FV83" s="4">
        <f>ROUND(SUMIF(AA24:AA81,"=34748540",GP24:GP81),2)</f>
        <v>140821.59</v>
      </c>
      <c r="FW83" s="4">
        <f>DU83-FP83</f>
        <v>460461.78</v>
      </c>
      <c r="FX83" s="4">
        <f>DU83-FQ83</f>
        <v>460461.78</v>
      </c>
      <c r="FY83" s="4">
        <f>FP83-FR83</f>
        <v>0</v>
      </c>
      <c r="FZ83" s="4">
        <f>DU83-FP83-FQ83+FR83</f>
        <v>460461.78</v>
      </c>
      <c r="GA83" s="4">
        <f>FQ83-FR83</f>
        <v>0</v>
      </c>
      <c r="GB83" s="4">
        <f>ROUND(SUMIF(AA24:AA81,"=34748540",GX24:GX81),2)</f>
        <v>0</v>
      </c>
      <c r="GC83" s="4">
        <f>ROUND(SUMIF(AA24:AA81,"=34748540",GY24:GY81),2)</f>
        <v>0</v>
      </c>
      <c r="GD83" s="4">
        <f>ROUND(SUMIF(AA24:AA81,"=34748540",GZ24:GZ81),2)</f>
        <v>0</v>
      </c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>
        <v>0</v>
      </c>
      <c r="IF83">
        <v>-1</v>
      </c>
    </row>
    <row r="84" spans="1:245" x14ac:dyDescent="0.2">
      <c r="IF84">
        <v>-1</v>
      </c>
    </row>
    <row r="85" spans="1:245" x14ac:dyDescent="0.2">
      <c r="A85" s="5">
        <v>50</v>
      </c>
      <c r="B85" s="5">
        <v>0</v>
      </c>
      <c r="C85" s="5">
        <v>0</v>
      </c>
      <c r="D85" s="5">
        <v>1</v>
      </c>
      <c r="E85" s="5">
        <v>201</v>
      </c>
      <c r="F85" s="5">
        <f>ROUND(Source!O83,O85)</f>
        <v>42244.6</v>
      </c>
      <c r="G85" s="5" t="s">
        <v>137</v>
      </c>
      <c r="H85" s="5" t="s">
        <v>138</v>
      </c>
      <c r="I85" s="5"/>
      <c r="J85" s="5"/>
      <c r="K85" s="5">
        <v>201</v>
      </c>
      <c r="L85" s="5">
        <v>1</v>
      </c>
      <c r="M85" s="5">
        <v>3</v>
      </c>
      <c r="N85" s="5" t="s">
        <v>3</v>
      </c>
      <c r="O85" s="5">
        <v>2</v>
      </c>
      <c r="P85" s="5">
        <f>ROUND(Source!DG83,O85)</f>
        <v>549829.06000000006</v>
      </c>
      <c r="Q85" s="5"/>
      <c r="R85" s="5"/>
      <c r="S85" s="5"/>
      <c r="T85" s="5"/>
      <c r="U85" s="5"/>
      <c r="V85" s="5"/>
      <c r="W85" s="5"/>
      <c r="IF85">
        <v>-1</v>
      </c>
    </row>
    <row r="86" spans="1:245" x14ac:dyDescent="0.2">
      <c r="A86" s="5">
        <v>50</v>
      </c>
      <c r="B86" s="5">
        <v>0</v>
      </c>
      <c r="C86" s="5">
        <v>0</v>
      </c>
      <c r="D86" s="5">
        <v>1</v>
      </c>
      <c r="E86" s="5">
        <v>202</v>
      </c>
      <c r="F86" s="5">
        <f>ROUND(Source!P83,O86)</f>
        <v>36836.949999999997</v>
      </c>
      <c r="G86" s="5" t="s">
        <v>139</v>
      </c>
      <c r="H86" s="5" t="s">
        <v>140</v>
      </c>
      <c r="I86" s="5"/>
      <c r="J86" s="5"/>
      <c r="K86" s="5">
        <v>202</v>
      </c>
      <c r="L86" s="5">
        <v>2</v>
      </c>
      <c r="M86" s="5">
        <v>3</v>
      </c>
      <c r="N86" s="5" t="s">
        <v>3</v>
      </c>
      <c r="O86" s="5">
        <v>2</v>
      </c>
      <c r="P86" s="5">
        <f>ROUND(Source!DH83,O86)</f>
        <v>460461.78</v>
      </c>
      <c r="Q86" s="5"/>
      <c r="R86" s="5"/>
      <c r="S86" s="5"/>
      <c r="T86" s="5"/>
      <c r="U86" s="5"/>
      <c r="V86" s="5"/>
      <c r="W86" s="5"/>
      <c r="IF86">
        <v>-1</v>
      </c>
    </row>
    <row r="87" spans="1:245" x14ac:dyDescent="0.2">
      <c r="A87" s="5">
        <v>50</v>
      </c>
      <c r="B87" s="5">
        <v>0</v>
      </c>
      <c r="C87" s="5">
        <v>0</v>
      </c>
      <c r="D87" s="5">
        <v>1</v>
      </c>
      <c r="E87" s="5">
        <v>222</v>
      </c>
      <c r="F87" s="5">
        <f>ROUND(Source!AO83,O87)</f>
        <v>0</v>
      </c>
      <c r="G87" s="5" t="s">
        <v>141</v>
      </c>
      <c r="H87" s="5" t="s">
        <v>142</v>
      </c>
      <c r="I87" s="5"/>
      <c r="J87" s="5"/>
      <c r="K87" s="5">
        <v>222</v>
      </c>
      <c r="L87" s="5">
        <v>3</v>
      </c>
      <c r="M87" s="5">
        <v>3</v>
      </c>
      <c r="N87" s="5" t="s">
        <v>3</v>
      </c>
      <c r="O87" s="5">
        <v>2</v>
      </c>
      <c r="P87" s="5">
        <f>ROUND(Source!EG83,O87)</f>
        <v>0</v>
      </c>
      <c r="Q87" s="5"/>
      <c r="R87" s="5"/>
      <c r="S87" s="5"/>
      <c r="T87" s="5"/>
      <c r="U87" s="5"/>
      <c r="V87" s="5"/>
      <c r="W87" s="5"/>
      <c r="IF87">
        <v>-1</v>
      </c>
    </row>
    <row r="88" spans="1:245" x14ac:dyDescent="0.2">
      <c r="A88" s="5">
        <v>50</v>
      </c>
      <c r="B88" s="5">
        <v>0</v>
      </c>
      <c r="C88" s="5">
        <v>0</v>
      </c>
      <c r="D88" s="5">
        <v>1</v>
      </c>
      <c r="E88" s="5">
        <v>225</v>
      </c>
      <c r="F88" s="5">
        <f>ROUND(Source!AV83,O88)</f>
        <v>36836.949999999997</v>
      </c>
      <c r="G88" s="5" t="s">
        <v>143</v>
      </c>
      <c r="H88" s="5" t="s">
        <v>144</v>
      </c>
      <c r="I88" s="5"/>
      <c r="J88" s="5"/>
      <c r="K88" s="5">
        <v>225</v>
      </c>
      <c r="L88" s="5">
        <v>4</v>
      </c>
      <c r="M88" s="5">
        <v>3</v>
      </c>
      <c r="N88" s="5" t="s">
        <v>3</v>
      </c>
      <c r="O88" s="5">
        <v>2</v>
      </c>
      <c r="P88" s="5">
        <f>ROUND(Source!EN83,O88)</f>
        <v>460461.78</v>
      </c>
      <c r="Q88" s="5"/>
      <c r="R88" s="5"/>
      <c r="S88" s="5"/>
      <c r="T88" s="5"/>
      <c r="U88" s="5"/>
      <c r="V88" s="5"/>
      <c r="W88" s="5"/>
      <c r="IF88">
        <v>-1</v>
      </c>
    </row>
    <row r="89" spans="1:245" x14ac:dyDescent="0.2">
      <c r="A89" s="5">
        <v>50</v>
      </c>
      <c r="B89" s="5">
        <v>0</v>
      </c>
      <c r="C89" s="5">
        <v>0</v>
      </c>
      <c r="D89" s="5">
        <v>1</v>
      </c>
      <c r="E89" s="5">
        <v>226</v>
      </c>
      <c r="F89" s="5">
        <f>ROUND(Source!AW83,O89)</f>
        <v>36836.949999999997</v>
      </c>
      <c r="G89" s="5" t="s">
        <v>145</v>
      </c>
      <c r="H89" s="5" t="s">
        <v>146</v>
      </c>
      <c r="I89" s="5"/>
      <c r="J89" s="5"/>
      <c r="K89" s="5">
        <v>226</v>
      </c>
      <c r="L89" s="5">
        <v>5</v>
      </c>
      <c r="M89" s="5">
        <v>3</v>
      </c>
      <c r="N89" s="5" t="s">
        <v>3</v>
      </c>
      <c r="O89" s="5">
        <v>2</v>
      </c>
      <c r="P89" s="5">
        <f>ROUND(Source!EO83,O89)</f>
        <v>460461.78</v>
      </c>
      <c r="Q89" s="5"/>
      <c r="R89" s="5"/>
      <c r="S89" s="5"/>
      <c r="T89" s="5"/>
      <c r="U89" s="5"/>
      <c r="V89" s="5"/>
      <c r="W89" s="5"/>
      <c r="IF89">
        <v>-1</v>
      </c>
    </row>
    <row r="90" spans="1:245" x14ac:dyDescent="0.2">
      <c r="A90" s="5">
        <v>50</v>
      </c>
      <c r="B90" s="5">
        <v>0</v>
      </c>
      <c r="C90" s="5">
        <v>0</v>
      </c>
      <c r="D90" s="5">
        <v>1</v>
      </c>
      <c r="E90" s="5">
        <v>227</v>
      </c>
      <c r="F90" s="5">
        <f>ROUND(Source!AX83,O90)</f>
        <v>0</v>
      </c>
      <c r="G90" s="5" t="s">
        <v>147</v>
      </c>
      <c r="H90" s="5" t="s">
        <v>148</v>
      </c>
      <c r="I90" s="5"/>
      <c r="J90" s="5"/>
      <c r="K90" s="5">
        <v>227</v>
      </c>
      <c r="L90" s="5">
        <v>6</v>
      </c>
      <c r="M90" s="5">
        <v>3</v>
      </c>
      <c r="N90" s="5" t="s">
        <v>3</v>
      </c>
      <c r="O90" s="5">
        <v>2</v>
      </c>
      <c r="P90" s="5">
        <f>ROUND(Source!EP83,O90)</f>
        <v>0</v>
      </c>
      <c r="Q90" s="5"/>
      <c r="R90" s="5"/>
      <c r="S90" s="5"/>
      <c r="T90" s="5"/>
      <c r="U90" s="5"/>
      <c r="V90" s="5"/>
      <c r="W90" s="5"/>
      <c r="IF90">
        <v>-1</v>
      </c>
    </row>
    <row r="91" spans="1:245" x14ac:dyDescent="0.2">
      <c r="A91" s="5">
        <v>50</v>
      </c>
      <c r="B91" s="5">
        <v>0</v>
      </c>
      <c r="C91" s="5">
        <v>0</v>
      </c>
      <c r="D91" s="5">
        <v>1</v>
      </c>
      <c r="E91" s="5">
        <v>228</v>
      </c>
      <c r="F91" s="5">
        <f>ROUND(Source!AY83,O91)</f>
        <v>36836.949999999997</v>
      </c>
      <c r="G91" s="5" t="s">
        <v>149</v>
      </c>
      <c r="H91" s="5" t="s">
        <v>150</v>
      </c>
      <c r="I91" s="5"/>
      <c r="J91" s="5"/>
      <c r="K91" s="5">
        <v>228</v>
      </c>
      <c r="L91" s="5">
        <v>7</v>
      </c>
      <c r="M91" s="5">
        <v>3</v>
      </c>
      <c r="N91" s="5" t="s">
        <v>3</v>
      </c>
      <c r="O91" s="5">
        <v>2</v>
      </c>
      <c r="P91" s="5">
        <f>ROUND(Source!EQ83,O91)</f>
        <v>460461.78</v>
      </c>
      <c r="Q91" s="5"/>
      <c r="R91" s="5"/>
      <c r="S91" s="5"/>
      <c r="T91" s="5"/>
      <c r="U91" s="5"/>
      <c r="V91" s="5"/>
      <c r="W91" s="5"/>
      <c r="IF91">
        <v>-1</v>
      </c>
    </row>
    <row r="92" spans="1:245" x14ac:dyDescent="0.2">
      <c r="A92" s="5">
        <v>50</v>
      </c>
      <c r="B92" s="5">
        <v>0</v>
      </c>
      <c r="C92" s="5">
        <v>0</v>
      </c>
      <c r="D92" s="5">
        <v>1</v>
      </c>
      <c r="E92" s="5">
        <v>216</v>
      </c>
      <c r="F92" s="5">
        <f>ROUND(Source!AP83,O92)</f>
        <v>0</v>
      </c>
      <c r="G92" s="5" t="s">
        <v>151</v>
      </c>
      <c r="H92" s="5" t="s">
        <v>152</v>
      </c>
      <c r="I92" s="5"/>
      <c r="J92" s="5"/>
      <c r="K92" s="5">
        <v>216</v>
      </c>
      <c r="L92" s="5">
        <v>8</v>
      </c>
      <c r="M92" s="5">
        <v>3</v>
      </c>
      <c r="N92" s="5" t="s">
        <v>3</v>
      </c>
      <c r="O92" s="5">
        <v>2</v>
      </c>
      <c r="P92" s="5">
        <f>ROUND(Source!EH83,O92)</f>
        <v>0</v>
      </c>
      <c r="Q92" s="5"/>
      <c r="R92" s="5"/>
      <c r="S92" s="5"/>
      <c r="T92" s="5"/>
      <c r="U92" s="5"/>
      <c r="V92" s="5"/>
      <c r="W92" s="5"/>
      <c r="IF92">
        <v>-1</v>
      </c>
    </row>
    <row r="93" spans="1:245" x14ac:dyDescent="0.2">
      <c r="A93" s="5">
        <v>50</v>
      </c>
      <c r="B93" s="5">
        <v>0</v>
      </c>
      <c r="C93" s="5">
        <v>0</v>
      </c>
      <c r="D93" s="5">
        <v>1</v>
      </c>
      <c r="E93" s="5">
        <v>223</v>
      </c>
      <c r="F93" s="5">
        <f>ROUND(Source!AQ83,O93)</f>
        <v>0</v>
      </c>
      <c r="G93" s="5" t="s">
        <v>153</v>
      </c>
      <c r="H93" s="5" t="s">
        <v>154</v>
      </c>
      <c r="I93" s="5"/>
      <c r="J93" s="5"/>
      <c r="K93" s="5">
        <v>223</v>
      </c>
      <c r="L93" s="5">
        <v>9</v>
      </c>
      <c r="M93" s="5">
        <v>3</v>
      </c>
      <c r="N93" s="5" t="s">
        <v>3</v>
      </c>
      <c r="O93" s="5">
        <v>2</v>
      </c>
      <c r="P93" s="5">
        <f>ROUND(Source!EI83,O93)</f>
        <v>0</v>
      </c>
      <c r="Q93" s="5"/>
      <c r="R93" s="5"/>
      <c r="S93" s="5"/>
      <c r="T93" s="5"/>
      <c r="U93" s="5"/>
      <c r="V93" s="5"/>
      <c r="W93" s="5"/>
      <c r="IF93">
        <v>-1</v>
      </c>
    </row>
    <row r="94" spans="1:245" x14ac:dyDescent="0.2">
      <c r="A94" s="5">
        <v>50</v>
      </c>
      <c r="B94" s="5">
        <v>0</v>
      </c>
      <c r="C94" s="5">
        <v>0</v>
      </c>
      <c r="D94" s="5">
        <v>1</v>
      </c>
      <c r="E94" s="5">
        <v>229</v>
      </c>
      <c r="F94" s="5">
        <f>ROUND(Source!AZ83,O94)</f>
        <v>0</v>
      </c>
      <c r="G94" s="5" t="s">
        <v>155</v>
      </c>
      <c r="H94" s="5" t="s">
        <v>156</v>
      </c>
      <c r="I94" s="5"/>
      <c r="J94" s="5"/>
      <c r="K94" s="5">
        <v>229</v>
      </c>
      <c r="L94" s="5">
        <v>10</v>
      </c>
      <c r="M94" s="5">
        <v>3</v>
      </c>
      <c r="N94" s="5" t="s">
        <v>3</v>
      </c>
      <c r="O94" s="5">
        <v>2</v>
      </c>
      <c r="P94" s="5">
        <f>ROUND(Source!ER83,O94)</f>
        <v>0</v>
      </c>
      <c r="Q94" s="5"/>
      <c r="R94" s="5"/>
      <c r="S94" s="5"/>
      <c r="T94" s="5"/>
      <c r="U94" s="5"/>
      <c r="V94" s="5"/>
      <c r="W94" s="5"/>
      <c r="IF94">
        <v>-1</v>
      </c>
    </row>
    <row r="95" spans="1:245" x14ac:dyDescent="0.2">
      <c r="A95" s="5">
        <v>50</v>
      </c>
      <c r="B95" s="5">
        <v>0</v>
      </c>
      <c r="C95" s="5">
        <v>0</v>
      </c>
      <c r="D95" s="5">
        <v>1</v>
      </c>
      <c r="E95" s="5">
        <v>203</v>
      </c>
      <c r="F95" s="5">
        <f>ROUND(Source!Q83,O95)</f>
        <v>852.81</v>
      </c>
      <c r="G95" s="5" t="s">
        <v>157</v>
      </c>
      <c r="H95" s="5" t="s">
        <v>158</v>
      </c>
      <c r="I95" s="5"/>
      <c r="J95" s="5"/>
      <c r="K95" s="5">
        <v>203</v>
      </c>
      <c r="L95" s="5">
        <v>11</v>
      </c>
      <c r="M95" s="5">
        <v>3</v>
      </c>
      <c r="N95" s="5" t="s">
        <v>3</v>
      </c>
      <c r="O95" s="5">
        <v>2</v>
      </c>
      <c r="P95" s="5">
        <f>ROUND(Source!DI83,O95)</f>
        <v>10660.09</v>
      </c>
      <c r="Q95" s="5"/>
      <c r="R95" s="5"/>
      <c r="S95" s="5"/>
      <c r="T95" s="5"/>
      <c r="U95" s="5"/>
      <c r="V95" s="5"/>
      <c r="W95" s="5"/>
      <c r="IF95">
        <v>-1</v>
      </c>
    </row>
    <row r="96" spans="1:245" x14ac:dyDescent="0.2">
      <c r="A96" s="5">
        <v>50</v>
      </c>
      <c r="B96" s="5">
        <v>0</v>
      </c>
      <c r="C96" s="5">
        <v>0</v>
      </c>
      <c r="D96" s="5">
        <v>1</v>
      </c>
      <c r="E96" s="5">
        <v>231</v>
      </c>
      <c r="F96" s="5">
        <f>ROUND(Source!BB83,O96)</f>
        <v>0</v>
      </c>
      <c r="G96" s="5" t="s">
        <v>159</v>
      </c>
      <c r="H96" s="5" t="s">
        <v>160</v>
      </c>
      <c r="I96" s="5"/>
      <c r="J96" s="5"/>
      <c r="K96" s="5">
        <v>231</v>
      </c>
      <c r="L96" s="5">
        <v>12</v>
      </c>
      <c r="M96" s="5">
        <v>3</v>
      </c>
      <c r="N96" s="5" t="s">
        <v>3</v>
      </c>
      <c r="O96" s="5">
        <v>2</v>
      </c>
      <c r="P96" s="5">
        <f>ROUND(Source!ET83,O96)</f>
        <v>0</v>
      </c>
      <c r="Q96" s="5"/>
      <c r="R96" s="5"/>
      <c r="S96" s="5"/>
      <c r="T96" s="5"/>
      <c r="U96" s="5"/>
      <c r="V96" s="5"/>
      <c r="W96" s="5"/>
      <c r="IF96">
        <v>-1</v>
      </c>
    </row>
    <row r="97" spans="1:240" x14ac:dyDescent="0.2">
      <c r="A97" s="5">
        <v>50</v>
      </c>
      <c r="B97" s="5">
        <v>0</v>
      </c>
      <c r="C97" s="5">
        <v>0</v>
      </c>
      <c r="D97" s="5">
        <v>1</v>
      </c>
      <c r="E97" s="5">
        <v>204</v>
      </c>
      <c r="F97" s="5">
        <f>ROUND(Source!R83,O97)</f>
        <v>102.36</v>
      </c>
      <c r="G97" s="5" t="s">
        <v>161</v>
      </c>
      <c r="H97" s="5" t="s">
        <v>162</v>
      </c>
      <c r="I97" s="5"/>
      <c r="J97" s="5"/>
      <c r="K97" s="5">
        <v>204</v>
      </c>
      <c r="L97" s="5">
        <v>13</v>
      </c>
      <c r="M97" s="5">
        <v>3</v>
      </c>
      <c r="N97" s="5" t="s">
        <v>3</v>
      </c>
      <c r="O97" s="5">
        <v>2</v>
      </c>
      <c r="P97" s="5">
        <f>ROUND(Source!DJ83,O97)</f>
        <v>1279.56</v>
      </c>
      <c r="Q97" s="5"/>
      <c r="R97" s="5"/>
      <c r="S97" s="5"/>
      <c r="T97" s="5"/>
      <c r="U97" s="5"/>
      <c r="V97" s="5"/>
      <c r="W97" s="5"/>
      <c r="IF97">
        <v>-1</v>
      </c>
    </row>
    <row r="98" spans="1:240" x14ac:dyDescent="0.2">
      <c r="A98" s="5">
        <v>50</v>
      </c>
      <c r="B98" s="5">
        <v>0</v>
      </c>
      <c r="C98" s="5">
        <v>0</v>
      </c>
      <c r="D98" s="5">
        <v>1</v>
      </c>
      <c r="E98" s="5">
        <v>205</v>
      </c>
      <c r="F98" s="5">
        <f>ROUND(Source!S83,O98)</f>
        <v>4554.84</v>
      </c>
      <c r="G98" s="5" t="s">
        <v>163</v>
      </c>
      <c r="H98" s="5" t="s">
        <v>164</v>
      </c>
      <c r="I98" s="5"/>
      <c r="J98" s="5"/>
      <c r="K98" s="5">
        <v>205</v>
      </c>
      <c r="L98" s="5">
        <v>14</v>
      </c>
      <c r="M98" s="5">
        <v>3</v>
      </c>
      <c r="N98" s="5" t="s">
        <v>3</v>
      </c>
      <c r="O98" s="5">
        <v>2</v>
      </c>
      <c r="P98" s="5">
        <f>ROUND(Source!DK83,O98)</f>
        <v>78707.19</v>
      </c>
      <c r="Q98" s="5"/>
      <c r="R98" s="5"/>
      <c r="S98" s="5"/>
      <c r="T98" s="5"/>
      <c r="U98" s="5"/>
      <c r="V98" s="5"/>
      <c r="W98" s="5"/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232</v>
      </c>
      <c r="F99" s="5">
        <f>ROUND(Source!BC83,O99)</f>
        <v>0</v>
      </c>
      <c r="G99" s="5" t="s">
        <v>165</v>
      </c>
      <c r="H99" s="5" t="s">
        <v>166</v>
      </c>
      <c r="I99" s="5"/>
      <c r="J99" s="5"/>
      <c r="K99" s="5">
        <v>232</v>
      </c>
      <c r="L99" s="5">
        <v>15</v>
      </c>
      <c r="M99" s="5">
        <v>3</v>
      </c>
      <c r="N99" s="5" t="s">
        <v>3</v>
      </c>
      <c r="O99" s="5">
        <v>2</v>
      </c>
      <c r="P99" s="5">
        <f>ROUND(Source!EU83,O99)</f>
        <v>0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214</v>
      </c>
      <c r="F100" s="5">
        <f>ROUND(Source!AS83,O100)</f>
        <v>35956.699999999997</v>
      </c>
      <c r="G100" s="5" t="s">
        <v>167</v>
      </c>
      <c r="H100" s="5" t="s">
        <v>168</v>
      </c>
      <c r="I100" s="5"/>
      <c r="J100" s="5"/>
      <c r="K100" s="5">
        <v>214</v>
      </c>
      <c r="L100" s="5">
        <v>16</v>
      </c>
      <c r="M100" s="5">
        <v>3</v>
      </c>
      <c r="N100" s="5" t="s">
        <v>3</v>
      </c>
      <c r="O100" s="5">
        <v>2</v>
      </c>
      <c r="P100" s="5">
        <f>ROUND(Source!EK83,O100)</f>
        <v>449458.53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215</v>
      </c>
      <c r="F101" s="5">
        <f>ROUND(Source!AT83,O101)</f>
        <v>3952.25</v>
      </c>
      <c r="G101" s="5" t="s">
        <v>169</v>
      </c>
      <c r="H101" s="5" t="s">
        <v>170</v>
      </c>
      <c r="I101" s="5"/>
      <c r="J101" s="5"/>
      <c r="K101" s="5">
        <v>215</v>
      </c>
      <c r="L101" s="5">
        <v>17</v>
      </c>
      <c r="M101" s="5">
        <v>3</v>
      </c>
      <c r="N101" s="5" t="s">
        <v>3</v>
      </c>
      <c r="O101" s="5">
        <v>2</v>
      </c>
      <c r="P101" s="5">
        <f>ROUND(Source!EL83,O101)</f>
        <v>49402.85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217</v>
      </c>
      <c r="F102" s="5">
        <f>ROUND(Source!AU83,O102)</f>
        <v>7695.18</v>
      </c>
      <c r="G102" s="5" t="s">
        <v>171</v>
      </c>
      <c r="H102" s="5" t="s">
        <v>172</v>
      </c>
      <c r="I102" s="5"/>
      <c r="J102" s="5"/>
      <c r="K102" s="5">
        <v>217</v>
      </c>
      <c r="L102" s="5">
        <v>18</v>
      </c>
      <c r="M102" s="5">
        <v>3</v>
      </c>
      <c r="N102" s="5" t="s">
        <v>3</v>
      </c>
      <c r="O102" s="5">
        <v>2</v>
      </c>
      <c r="P102" s="5">
        <f>ROUND(Source!EM83,O102)</f>
        <v>140821.59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230</v>
      </c>
      <c r="F103" s="5">
        <f>ROUND(Source!BA83,O103)</f>
        <v>0</v>
      </c>
      <c r="G103" s="5" t="s">
        <v>173</v>
      </c>
      <c r="H103" s="5" t="s">
        <v>174</v>
      </c>
      <c r="I103" s="5"/>
      <c r="J103" s="5"/>
      <c r="K103" s="5">
        <v>230</v>
      </c>
      <c r="L103" s="5">
        <v>19</v>
      </c>
      <c r="M103" s="5">
        <v>3</v>
      </c>
      <c r="N103" s="5" t="s">
        <v>3</v>
      </c>
      <c r="O103" s="5">
        <v>2</v>
      </c>
      <c r="P103" s="5">
        <f>ROUND(Source!ES83,O103)</f>
        <v>0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206</v>
      </c>
      <c r="F104" s="5">
        <f>ROUND(Source!T83,O104)</f>
        <v>0</v>
      </c>
      <c r="G104" s="5" t="s">
        <v>175</v>
      </c>
      <c r="H104" s="5" t="s">
        <v>176</v>
      </c>
      <c r="I104" s="5"/>
      <c r="J104" s="5"/>
      <c r="K104" s="5">
        <v>206</v>
      </c>
      <c r="L104" s="5">
        <v>20</v>
      </c>
      <c r="M104" s="5">
        <v>3</v>
      </c>
      <c r="N104" s="5" t="s">
        <v>3</v>
      </c>
      <c r="O104" s="5">
        <v>2</v>
      </c>
      <c r="P104" s="5">
        <f>ROUND(Source!DL83,O104)</f>
        <v>0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207</v>
      </c>
      <c r="F105" s="5">
        <f>Source!U83</f>
        <v>356.06594749999999</v>
      </c>
      <c r="G105" s="5" t="s">
        <v>177</v>
      </c>
      <c r="H105" s="5" t="s">
        <v>178</v>
      </c>
      <c r="I105" s="5"/>
      <c r="J105" s="5"/>
      <c r="K105" s="5">
        <v>207</v>
      </c>
      <c r="L105" s="5">
        <v>21</v>
      </c>
      <c r="M105" s="5">
        <v>3</v>
      </c>
      <c r="N105" s="5" t="s">
        <v>3</v>
      </c>
      <c r="O105" s="5">
        <v>-1</v>
      </c>
      <c r="P105" s="5">
        <f>Source!DM83</f>
        <v>356.06594749999999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208</v>
      </c>
      <c r="F106" s="5">
        <f>Source!V83</f>
        <v>7.7554389799999992</v>
      </c>
      <c r="G106" s="5" t="s">
        <v>179</v>
      </c>
      <c r="H106" s="5" t="s">
        <v>180</v>
      </c>
      <c r="I106" s="5"/>
      <c r="J106" s="5"/>
      <c r="K106" s="5">
        <v>208</v>
      </c>
      <c r="L106" s="5">
        <v>22</v>
      </c>
      <c r="M106" s="5">
        <v>3</v>
      </c>
      <c r="N106" s="5" t="s">
        <v>3</v>
      </c>
      <c r="O106" s="5">
        <v>-1</v>
      </c>
      <c r="P106" s="5">
        <f>Source!DN83</f>
        <v>7.7554389799999992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209</v>
      </c>
      <c r="F107" s="5">
        <f>ROUND(Source!W83,O107)</f>
        <v>0</v>
      </c>
      <c r="G107" s="5" t="s">
        <v>181</v>
      </c>
      <c r="H107" s="5" t="s">
        <v>182</v>
      </c>
      <c r="I107" s="5"/>
      <c r="J107" s="5"/>
      <c r="K107" s="5">
        <v>209</v>
      </c>
      <c r="L107" s="5">
        <v>23</v>
      </c>
      <c r="M107" s="5">
        <v>3</v>
      </c>
      <c r="N107" s="5" t="s">
        <v>3</v>
      </c>
      <c r="O107" s="5">
        <v>2</v>
      </c>
      <c r="P107" s="5">
        <f>ROUND(Source!DO83,O107)</f>
        <v>0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210</v>
      </c>
      <c r="F108" s="5">
        <f>ROUND(Source!X83,O108)</f>
        <v>3277.9</v>
      </c>
      <c r="G108" s="5" t="s">
        <v>183</v>
      </c>
      <c r="H108" s="5" t="s">
        <v>184</v>
      </c>
      <c r="I108" s="5"/>
      <c r="J108" s="5"/>
      <c r="K108" s="5">
        <v>210</v>
      </c>
      <c r="L108" s="5">
        <v>24</v>
      </c>
      <c r="M108" s="5">
        <v>3</v>
      </c>
      <c r="N108" s="5" t="s">
        <v>3</v>
      </c>
      <c r="O108" s="5">
        <v>2</v>
      </c>
      <c r="P108" s="5">
        <f>ROUND(Source!DP83,O108)</f>
        <v>55125.02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211</v>
      </c>
      <c r="F109" s="5">
        <f>ROUND(Source!Y83,O109)</f>
        <v>2081.63</v>
      </c>
      <c r="G109" s="5" t="s">
        <v>185</v>
      </c>
      <c r="H109" s="5" t="s">
        <v>186</v>
      </c>
      <c r="I109" s="5"/>
      <c r="J109" s="5"/>
      <c r="K109" s="5">
        <v>211</v>
      </c>
      <c r="L109" s="5">
        <v>25</v>
      </c>
      <c r="M109" s="5">
        <v>3</v>
      </c>
      <c r="N109" s="5" t="s">
        <v>3</v>
      </c>
      <c r="O109" s="5">
        <v>2</v>
      </c>
      <c r="P109" s="5">
        <f>ROUND(Source!DQ83,O109)</f>
        <v>34728.89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224</v>
      </c>
      <c r="F110" s="5">
        <f>ROUND(Source!AR83,O110)</f>
        <v>47604.13</v>
      </c>
      <c r="G110" s="5" t="s">
        <v>187</v>
      </c>
      <c r="H110" s="5" t="s">
        <v>188</v>
      </c>
      <c r="I110" s="5"/>
      <c r="J110" s="5"/>
      <c r="K110" s="5">
        <v>224</v>
      </c>
      <c r="L110" s="5">
        <v>26</v>
      </c>
      <c r="M110" s="5">
        <v>3</v>
      </c>
      <c r="N110" s="5" t="s">
        <v>3</v>
      </c>
      <c r="O110" s="5">
        <v>2</v>
      </c>
      <c r="P110" s="5">
        <f>ROUND(Source!EJ83,O110)</f>
        <v>639682.97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IF111">
        <v>-1</v>
      </c>
    </row>
    <row r="112" spans="1:240" x14ac:dyDescent="0.2">
      <c r="A112" s="3">
        <v>51</v>
      </c>
      <c r="B112" s="3">
        <f>B12</f>
        <v>175</v>
      </c>
      <c r="C112" s="3">
        <f>A12</f>
        <v>1</v>
      </c>
      <c r="D112" s="3">
        <f>ROW(A12)</f>
        <v>12</v>
      </c>
      <c r="E112" s="3"/>
      <c r="F112" s="3" t="str">
        <f>IF(F12&lt;&gt;"",F12,"")</f>
        <v>Новый объект</v>
      </c>
      <c r="G112" s="3" t="str">
        <f>IF(G12&lt;&gt;"",G12,"")</f>
        <v>Установка РУ-10 кВ ТП514 2 комплексов учета электроэнергиии</v>
      </c>
      <c r="H112" s="3">
        <v>0</v>
      </c>
      <c r="I112" s="3"/>
      <c r="J112" s="3"/>
      <c r="K112" s="3"/>
      <c r="L112" s="3"/>
      <c r="M112" s="3"/>
      <c r="N112" s="3"/>
      <c r="O112" s="3">
        <f t="shared" ref="O112:T112" si="98">ROUND(O83,2)</f>
        <v>42244.6</v>
      </c>
      <c r="P112" s="3">
        <f t="shared" si="98"/>
        <v>36836.949999999997</v>
      </c>
      <c r="Q112" s="3">
        <f t="shared" si="98"/>
        <v>852.81</v>
      </c>
      <c r="R112" s="3">
        <f t="shared" si="98"/>
        <v>102.36</v>
      </c>
      <c r="S112" s="3">
        <f t="shared" si="98"/>
        <v>4554.84</v>
      </c>
      <c r="T112" s="3">
        <f t="shared" si="98"/>
        <v>0</v>
      </c>
      <c r="U112" s="3">
        <f>U83</f>
        <v>356.06594749999999</v>
      </c>
      <c r="V112" s="3">
        <f>V83</f>
        <v>7.7554389799999992</v>
      </c>
      <c r="W112" s="3">
        <f>ROUND(W83,2)</f>
        <v>0</v>
      </c>
      <c r="X112" s="3">
        <f>ROUND(X83,2)</f>
        <v>3277.9</v>
      </c>
      <c r="Y112" s="3">
        <f>ROUND(Y83,2)</f>
        <v>2081.63</v>
      </c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>
        <f t="shared" ref="AO112:BC112" si="99">ROUND(AO83,2)</f>
        <v>0</v>
      </c>
      <c r="AP112" s="3">
        <f t="shared" si="99"/>
        <v>0</v>
      </c>
      <c r="AQ112" s="3">
        <f t="shared" si="99"/>
        <v>0</v>
      </c>
      <c r="AR112" s="3">
        <f t="shared" si="99"/>
        <v>47604.13</v>
      </c>
      <c r="AS112" s="3">
        <f t="shared" si="99"/>
        <v>35956.699999999997</v>
      </c>
      <c r="AT112" s="3">
        <f t="shared" si="99"/>
        <v>3952.25</v>
      </c>
      <c r="AU112" s="3">
        <f t="shared" si="99"/>
        <v>7695.18</v>
      </c>
      <c r="AV112" s="3">
        <f t="shared" si="99"/>
        <v>36836.949999999997</v>
      </c>
      <c r="AW112" s="3">
        <f t="shared" si="99"/>
        <v>36836.949999999997</v>
      </c>
      <c r="AX112" s="3">
        <f t="shared" si="99"/>
        <v>0</v>
      </c>
      <c r="AY112" s="3">
        <f t="shared" si="99"/>
        <v>36836.949999999997</v>
      </c>
      <c r="AZ112" s="3">
        <f t="shared" si="99"/>
        <v>0</v>
      </c>
      <c r="BA112" s="3">
        <f t="shared" si="99"/>
        <v>0</v>
      </c>
      <c r="BB112" s="3">
        <f t="shared" si="99"/>
        <v>0</v>
      </c>
      <c r="BC112" s="3">
        <f t="shared" si="99"/>
        <v>0</v>
      </c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4">
        <f t="shared" ref="DG112:DL112" si="100">ROUND(DG83,2)</f>
        <v>549829.06000000006</v>
      </c>
      <c r="DH112" s="4">
        <f t="shared" si="100"/>
        <v>460461.78</v>
      </c>
      <c r="DI112" s="4">
        <f t="shared" si="100"/>
        <v>10660.09</v>
      </c>
      <c r="DJ112" s="4">
        <f t="shared" si="100"/>
        <v>1279.56</v>
      </c>
      <c r="DK112" s="4">
        <f t="shared" si="100"/>
        <v>78707.19</v>
      </c>
      <c r="DL112" s="4">
        <f t="shared" si="100"/>
        <v>0</v>
      </c>
      <c r="DM112" s="4">
        <f>DM83</f>
        <v>356.06594749999999</v>
      </c>
      <c r="DN112" s="4">
        <f>DN83</f>
        <v>7.7554389799999992</v>
      </c>
      <c r="DO112" s="4">
        <f>ROUND(DO83,2)</f>
        <v>0</v>
      </c>
      <c r="DP112" s="4">
        <f>ROUND(DP83,2)</f>
        <v>55125.02</v>
      </c>
      <c r="DQ112" s="4">
        <f>ROUND(DQ83,2)</f>
        <v>34728.89</v>
      </c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>
        <f t="shared" ref="EG112:EU112" si="101">ROUND(EG83,2)</f>
        <v>0</v>
      </c>
      <c r="EH112" s="4">
        <f t="shared" si="101"/>
        <v>0</v>
      </c>
      <c r="EI112" s="4">
        <f t="shared" si="101"/>
        <v>0</v>
      </c>
      <c r="EJ112" s="4">
        <f t="shared" si="101"/>
        <v>639682.97</v>
      </c>
      <c r="EK112" s="4">
        <f t="shared" si="101"/>
        <v>449458.53</v>
      </c>
      <c r="EL112" s="4">
        <f t="shared" si="101"/>
        <v>49402.85</v>
      </c>
      <c r="EM112" s="4">
        <f t="shared" si="101"/>
        <v>140821.59</v>
      </c>
      <c r="EN112" s="4">
        <f t="shared" si="101"/>
        <v>460461.78</v>
      </c>
      <c r="EO112" s="4">
        <f t="shared" si="101"/>
        <v>460461.78</v>
      </c>
      <c r="EP112" s="4">
        <f t="shared" si="101"/>
        <v>0</v>
      </c>
      <c r="EQ112" s="4">
        <f t="shared" si="101"/>
        <v>460461.78</v>
      </c>
      <c r="ER112" s="4">
        <f t="shared" si="101"/>
        <v>0</v>
      </c>
      <c r="ES112" s="4">
        <f t="shared" si="101"/>
        <v>0</v>
      </c>
      <c r="ET112" s="4">
        <f t="shared" si="101"/>
        <v>0</v>
      </c>
      <c r="EU112" s="4">
        <f t="shared" si="101"/>
        <v>0</v>
      </c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>
        <v>0</v>
      </c>
      <c r="IF112">
        <v>-1</v>
      </c>
    </row>
    <row r="113" spans="1:240" x14ac:dyDescent="0.2"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201</v>
      </c>
      <c r="F114" s="5">
        <f>ROUND(Source!O112,O114)</f>
        <v>42244.6</v>
      </c>
      <c r="G114" s="5" t="s">
        <v>137</v>
      </c>
      <c r="H114" s="5" t="s">
        <v>138</v>
      </c>
      <c r="I114" s="5"/>
      <c r="J114" s="5"/>
      <c r="K114" s="5">
        <v>201</v>
      </c>
      <c r="L114" s="5">
        <v>1</v>
      </c>
      <c r="M114" s="5">
        <v>3</v>
      </c>
      <c r="N114" s="5" t="s">
        <v>3</v>
      </c>
      <c r="O114" s="5">
        <v>2</v>
      </c>
      <c r="P114" s="5">
        <f>ROUND(Source!DG112,O114)</f>
        <v>549829.06000000006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202</v>
      </c>
      <c r="F115" s="5">
        <f>ROUND(Source!P112,O115)</f>
        <v>36836.949999999997</v>
      </c>
      <c r="G115" s="5" t="s">
        <v>139</v>
      </c>
      <c r="H115" s="5" t="s">
        <v>140</v>
      </c>
      <c r="I115" s="5"/>
      <c r="J115" s="5"/>
      <c r="K115" s="5">
        <v>202</v>
      </c>
      <c r="L115" s="5">
        <v>2</v>
      </c>
      <c r="M115" s="5">
        <v>3</v>
      </c>
      <c r="N115" s="5" t="s">
        <v>3</v>
      </c>
      <c r="O115" s="5">
        <v>2</v>
      </c>
      <c r="P115" s="5">
        <f>ROUND(Source!DH112,O115)</f>
        <v>460461.78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222</v>
      </c>
      <c r="F116" s="5">
        <f>ROUND(Source!AO112,O116)</f>
        <v>0</v>
      </c>
      <c r="G116" s="5" t="s">
        <v>141</v>
      </c>
      <c r="H116" s="5" t="s">
        <v>142</v>
      </c>
      <c r="I116" s="5"/>
      <c r="J116" s="5"/>
      <c r="K116" s="5">
        <v>222</v>
      </c>
      <c r="L116" s="5">
        <v>3</v>
      </c>
      <c r="M116" s="5">
        <v>3</v>
      </c>
      <c r="N116" s="5" t="s">
        <v>3</v>
      </c>
      <c r="O116" s="5">
        <v>2</v>
      </c>
      <c r="P116" s="5">
        <f>ROUND(Source!EG112,O116)</f>
        <v>0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225</v>
      </c>
      <c r="F117" s="5">
        <f>ROUND(Source!AV112,O117)</f>
        <v>36836.949999999997</v>
      </c>
      <c r="G117" s="5" t="s">
        <v>143</v>
      </c>
      <c r="H117" s="5" t="s">
        <v>144</v>
      </c>
      <c r="I117" s="5"/>
      <c r="J117" s="5"/>
      <c r="K117" s="5">
        <v>225</v>
      </c>
      <c r="L117" s="5">
        <v>4</v>
      </c>
      <c r="M117" s="5">
        <v>3</v>
      </c>
      <c r="N117" s="5" t="s">
        <v>3</v>
      </c>
      <c r="O117" s="5">
        <v>2</v>
      </c>
      <c r="P117" s="5">
        <f>ROUND(Source!EN112,O117)</f>
        <v>460461.78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A118" s="5">
        <v>50</v>
      </c>
      <c r="B118" s="5">
        <v>0</v>
      </c>
      <c r="C118" s="5">
        <v>0</v>
      </c>
      <c r="D118" s="5">
        <v>1</v>
      </c>
      <c r="E118" s="5">
        <v>226</v>
      </c>
      <c r="F118" s="5">
        <f>ROUND(Source!AW112,O118)</f>
        <v>36836.949999999997</v>
      </c>
      <c r="G118" s="5" t="s">
        <v>145</v>
      </c>
      <c r="H118" s="5" t="s">
        <v>146</v>
      </c>
      <c r="I118" s="5"/>
      <c r="J118" s="5"/>
      <c r="K118" s="5">
        <v>226</v>
      </c>
      <c r="L118" s="5">
        <v>5</v>
      </c>
      <c r="M118" s="5">
        <v>3</v>
      </c>
      <c r="N118" s="5" t="s">
        <v>3</v>
      </c>
      <c r="O118" s="5">
        <v>2</v>
      </c>
      <c r="P118" s="5">
        <f>ROUND(Source!EO112,O118)</f>
        <v>460461.78</v>
      </c>
      <c r="Q118" s="5"/>
      <c r="R118" s="5"/>
      <c r="S118" s="5"/>
      <c r="T118" s="5"/>
      <c r="U118" s="5"/>
      <c r="V118" s="5"/>
      <c r="W118" s="5"/>
      <c r="IF118">
        <v>-1</v>
      </c>
    </row>
    <row r="119" spans="1:240" x14ac:dyDescent="0.2">
      <c r="A119" s="5">
        <v>50</v>
      </c>
      <c r="B119" s="5">
        <v>0</v>
      </c>
      <c r="C119" s="5">
        <v>0</v>
      </c>
      <c r="D119" s="5">
        <v>1</v>
      </c>
      <c r="E119" s="5">
        <v>227</v>
      </c>
      <c r="F119" s="5">
        <f>ROUND(Source!AX112,O119)</f>
        <v>0</v>
      </c>
      <c r="G119" s="5" t="s">
        <v>147</v>
      </c>
      <c r="H119" s="5" t="s">
        <v>148</v>
      </c>
      <c r="I119" s="5"/>
      <c r="J119" s="5"/>
      <c r="K119" s="5">
        <v>227</v>
      </c>
      <c r="L119" s="5">
        <v>6</v>
      </c>
      <c r="M119" s="5">
        <v>3</v>
      </c>
      <c r="N119" s="5" t="s">
        <v>3</v>
      </c>
      <c r="O119" s="5">
        <v>2</v>
      </c>
      <c r="P119" s="5">
        <f>ROUND(Source!EP112,O119)</f>
        <v>0</v>
      </c>
      <c r="Q119" s="5"/>
      <c r="R119" s="5"/>
      <c r="S119" s="5"/>
      <c r="T119" s="5"/>
      <c r="U119" s="5"/>
      <c r="V119" s="5"/>
      <c r="W119" s="5"/>
      <c r="IF119">
        <v>-1</v>
      </c>
    </row>
    <row r="120" spans="1:240" x14ac:dyDescent="0.2">
      <c r="A120" s="5">
        <v>50</v>
      </c>
      <c r="B120" s="5">
        <v>0</v>
      </c>
      <c r="C120" s="5">
        <v>0</v>
      </c>
      <c r="D120" s="5">
        <v>1</v>
      </c>
      <c r="E120" s="5">
        <v>228</v>
      </c>
      <c r="F120" s="5">
        <f>ROUND(Source!AY112,O120)</f>
        <v>36836.949999999997</v>
      </c>
      <c r="G120" s="5" t="s">
        <v>149</v>
      </c>
      <c r="H120" s="5" t="s">
        <v>150</v>
      </c>
      <c r="I120" s="5"/>
      <c r="J120" s="5"/>
      <c r="K120" s="5">
        <v>228</v>
      </c>
      <c r="L120" s="5">
        <v>7</v>
      </c>
      <c r="M120" s="5">
        <v>3</v>
      </c>
      <c r="N120" s="5" t="s">
        <v>3</v>
      </c>
      <c r="O120" s="5">
        <v>2</v>
      </c>
      <c r="P120" s="5">
        <f>ROUND(Source!EQ112,O120)</f>
        <v>460461.78</v>
      </c>
      <c r="Q120" s="5"/>
      <c r="R120" s="5"/>
      <c r="S120" s="5"/>
      <c r="T120" s="5"/>
      <c r="U120" s="5"/>
      <c r="V120" s="5"/>
      <c r="W120" s="5"/>
      <c r="IF120">
        <v>-1</v>
      </c>
    </row>
    <row r="121" spans="1:240" x14ac:dyDescent="0.2">
      <c r="A121" s="5">
        <v>50</v>
      </c>
      <c r="B121" s="5">
        <v>0</v>
      </c>
      <c r="C121" s="5">
        <v>0</v>
      </c>
      <c r="D121" s="5">
        <v>1</v>
      </c>
      <c r="E121" s="5">
        <v>216</v>
      </c>
      <c r="F121" s="5">
        <f>ROUND(Source!AP112,O121)</f>
        <v>0</v>
      </c>
      <c r="G121" s="5" t="s">
        <v>151</v>
      </c>
      <c r="H121" s="5" t="s">
        <v>152</v>
      </c>
      <c r="I121" s="5"/>
      <c r="J121" s="5"/>
      <c r="K121" s="5">
        <v>216</v>
      </c>
      <c r="L121" s="5">
        <v>8</v>
      </c>
      <c r="M121" s="5">
        <v>3</v>
      </c>
      <c r="N121" s="5" t="s">
        <v>3</v>
      </c>
      <c r="O121" s="5">
        <v>2</v>
      </c>
      <c r="P121" s="5">
        <f>ROUND(Source!EH112,O121)</f>
        <v>0</v>
      </c>
      <c r="Q121" s="5"/>
      <c r="R121" s="5"/>
      <c r="S121" s="5"/>
      <c r="T121" s="5"/>
      <c r="U121" s="5"/>
      <c r="V121" s="5"/>
      <c r="W121" s="5"/>
      <c r="IF121">
        <v>-1</v>
      </c>
    </row>
    <row r="122" spans="1:240" x14ac:dyDescent="0.2">
      <c r="A122" s="5">
        <v>50</v>
      </c>
      <c r="B122" s="5">
        <v>0</v>
      </c>
      <c r="C122" s="5">
        <v>0</v>
      </c>
      <c r="D122" s="5">
        <v>1</v>
      </c>
      <c r="E122" s="5">
        <v>223</v>
      </c>
      <c r="F122" s="5">
        <f>ROUND(Source!AQ112,O122)</f>
        <v>0</v>
      </c>
      <c r="G122" s="5" t="s">
        <v>153</v>
      </c>
      <c r="H122" s="5" t="s">
        <v>154</v>
      </c>
      <c r="I122" s="5"/>
      <c r="J122" s="5"/>
      <c r="K122" s="5">
        <v>223</v>
      </c>
      <c r="L122" s="5">
        <v>9</v>
      </c>
      <c r="M122" s="5">
        <v>3</v>
      </c>
      <c r="N122" s="5" t="s">
        <v>3</v>
      </c>
      <c r="O122" s="5">
        <v>2</v>
      </c>
      <c r="P122" s="5">
        <f>ROUND(Source!EI112,O122)</f>
        <v>0</v>
      </c>
      <c r="Q122" s="5"/>
      <c r="R122" s="5"/>
      <c r="S122" s="5"/>
      <c r="T122" s="5"/>
      <c r="U122" s="5"/>
      <c r="V122" s="5"/>
      <c r="W122" s="5"/>
      <c r="IF122">
        <v>-1</v>
      </c>
    </row>
    <row r="123" spans="1:240" x14ac:dyDescent="0.2">
      <c r="A123" s="5">
        <v>50</v>
      </c>
      <c r="B123" s="5">
        <v>0</v>
      </c>
      <c r="C123" s="5">
        <v>0</v>
      </c>
      <c r="D123" s="5">
        <v>1</v>
      </c>
      <c r="E123" s="5">
        <v>229</v>
      </c>
      <c r="F123" s="5">
        <f>ROUND(Source!AZ112,O123)</f>
        <v>0</v>
      </c>
      <c r="G123" s="5" t="s">
        <v>155</v>
      </c>
      <c r="H123" s="5" t="s">
        <v>156</v>
      </c>
      <c r="I123" s="5"/>
      <c r="J123" s="5"/>
      <c r="K123" s="5">
        <v>229</v>
      </c>
      <c r="L123" s="5">
        <v>10</v>
      </c>
      <c r="M123" s="5">
        <v>3</v>
      </c>
      <c r="N123" s="5" t="s">
        <v>3</v>
      </c>
      <c r="O123" s="5">
        <v>2</v>
      </c>
      <c r="P123" s="5">
        <f>ROUND(Source!ER112,O123)</f>
        <v>0</v>
      </c>
      <c r="Q123" s="5"/>
      <c r="R123" s="5"/>
      <c r="S123" s="5"/>
      <c r="T123" s="5"/>
      <c r="U123" s="5"/>
      <c r="V123" s="5"/>
      <c r="W123" s="5"/>
      <c r="IF123">
        <v>-1</v>
      </c>
    </row>
    <row r="124" spans="1:240" x14ac:dyDescent="0.2">
      <c r="A124" s="5">
        <v>50</v>
      </c>
      <c r="B124" s="5">
        <v>0</v>
      </c>
      <c r="C124" s="5">
        <v>0</v>
      </c>
      <c r="D124" s="5">
        <v>1</v>
      </c>
      <c r="E124" s="5">
        <v>203</v>
      </c>
      <c r="F124" s="5">
        <f>ROUND(Source!Q112,O124)</f>
        <v>852.81</v>
      </c>
      <c r="G124" s="5" t="s">
        <v>157</v>
      </c>
      <c r="H124" s="5" t="s">
        <v>158</v>
      </c>
      <c r="I124" s="5"/>
      <c r="J124" s="5"/>
      <c r="K124" s="5">
        <v>203</v>
      </c>
      <c r="L124" s="5">
        <v>11</v>
      </c>
      <c r="M124" s="5">
        <v>3</v>
      </c>
      <c r="N124" s="5" t="s">
        <v>3</v>
      </c>
      <c r="O124" s="5">
        <v>2</v>
      </c>
      <c r="P124" s="5">
        <f>ROUND(Source!DI112,O124)</f>
        <v>10660.09</v>
      </c>
      <c r="Q124" s="5"/>
      <c r="R124" s="5"/>
      <c r="S124" s="5"/>
      <c r="T124" s="5"/>
      <c r="U124" s="5"/>
      <c r="V124" s="5"/>
      <c r="W124" s="5"/>
      <c r="IF124">
        <v>-1</v>
      </c>
    </row>
    <row r="125" spans="1:240" x14ac:dyDescent="0.2">
      <c r="A125" s="5">
        <v>50</v>
      </c>
      <c r="B125" s="5">
        <v>0</v>
      </c>
      <c r="C125" s="5">
        <v>0</v>
      </c>
      <c r="D125" s="5">
        <v>1</v>
      </c>
      <c r="E125" s="5">
        <v>231</v>
      </c>
      <c r="F125" s="5">
        <f>ROUND(Source!BB112,O125)</f>
        <v>0</v>
      </c>
      <c r="G125" s="5" t="s">
        <v>159</v>
      </c>
      <c r="H125" s="5" t="s">
        <v>160</v>
      </c>
      <c r="I125" s="5"/>
      <c r="J125" s="5"/>
      <c r="K125" s="5">
        <v>231</v>
      </c>
      <c r="L125" s="5">
        <v>12</v>
      </c>
      <c r="M125" s="5">
        <v>3</v>
      </c>
      <c r="N125" s="5" t="s">
        <v>3</v>
      </c>
      <c r="O125" s="5">
        <v>2</v>
      </c>
      <c r="P125" s="5">
        <f>ROUND(Source!ET112,O125)</f>
        <v>0</v>
      </c>
      <c r="Q125" s="5"/>
      <c r="R125" s="5"/>
      <c r="S125" s="5"/>
      <c r="T125" s="5"/>
      <c r="U125" s="5"/>
      <c r="V125" s="5"/>
      <c r="W125" s="5"/>
      <c r="IF125">
        <v>-1</v>
      </c>
    </row>
    <row r="126" spans="1:240" x14ac:dyDescent="0.2">
      <c r="A126" s="5">
        <v>50</v>
      </c>
      <c r="B126" s="5">
        <v>0</v>
      </c>
      <c r="C126" s="5">
        <v>0</v>
      </c>
      <c r="D126" s="5">
        <v>1</v>
      </c>
      <c r="E126" s="5">
        <v>204</v>
      </c>
      <c r="F126" s="5">
        <f>ROUND(Source!R112,O126)</f>
        <v>102.36</v>
      </c>
      <c r="G126" s="5" t="s">
        <v>161</v>
      </c>
      <c r="H126" s="5" t="s">
        <v>162</v>
      </c>
      <c r="I126" s="5"/>
      <c r="J126" s="5"/>
      <c r="K126" s="5">
        <v>204</v>
      </c>
      <c r="L126" s="5">
        <v>13</v>
      </c>
      <c r="M126" s="5">
        <v>3</v>
      </c>
      <c r="N126" s="5" t="s">
        <v>3</v>
      </c>
      <c r="O126" s="5">
        <v>2</v>
      </c>
      <c r="P126" s="5">
        <f>ROUND(Source!DJ112,O126)</f>
        <v>1279.56</v>
      </c>
      <c r="Q126" s="5"/>
      <c r="R126" s="5"/>
      <c r="S126" s="5"/>
      <c r="T126" s="5"/>
      <c r="U126" s="5"/>
      <c r="V126" s="5"/>
      <c r="W126" s="5"/>
      <c r="IF126">
        <v>-1</v>
      </c>
    </row>
    <row r="127" spans="1:240" x14ac:dyDescent="0.2">
      <c r="A127" s="5">
        <v>50</v>
      </c>
      <c r="B127" s="5">
        <v>0</v>
      </c>
      <c r="C127" s="5">
        <v>0</v>
      </c>
      <c r="D127" s="5">
        <v>1</v>
      </c>
      <c r="E127" s="5">
        <v>205</v>
      </c>
      <c r="F127" s="5">
        <f>ROUND(Source!S112,O127)</f>
        <v>4554.84</v>
      </c>
      <c r="G127" s="5" t="s">
        <v>163</v>
      </c>
      <c r="H127" s="5" t="s">
        <v>164</v>
      </c>
      <c r="I127" s="5"/>
      <c r="J127" s="5"/>
      <c r="K127" s="5">
        <v>205</v>
      </c>
      <c r="L127" s="5">
        <v>14</v>
      </c>
      <c r="M127" s="5">
        <v>3</v>
      </c>
      <c r="N127" s="5" t="s">
        <v>3</v>
      </c>
      <c r="O127" s="5">
        <v>2</v>
      </c>
      <c r="P127" s="5">
        <f>ROUND(Source!DK112,O127)</f>
        <v>78707.19</v>
      </c>
      <c r="Q127" s="5"/>
      <c r="R127" s="5"/>
      <c r="S127" s="5"/>
      <c r="T127" s="5"/>
      <c r="U127" s="5"/>
      <c r="V127" s="5"/>
      <c r="W127" s="5"/>
      <c r="IF127">
        <v>-1</v>
      </c>
    </row>
    <row r="128" spans="1:240" x14ac:dyDescent="0.2">
      <c r="A128" s="5">
        <v>50</v>
      </c>
      <c r="B128" s="5">
        <v>0</v>
      </c>
      <c r="C128" s="5">
        <v>0</v>
      </c>
      <c r="D128" s="5">
        <v>1</v>
      </c>
      <c r="E128" s="5">
        <v>232</v>
      </c>
      <c r="F128" s="5">
        <f>ROUND(Source!BC112,O128)</f>
        <v>0</v>
      </c>
      <c r="G128" s="5" t="s">
        <v>165</v>
      </c>
      <c r="H128" s="5" t="s">
        <v>166</v>
      </c>
      <c r="I128" s="5"/>
      <c r="J128" s="5"/>
      <c r="K128" s="5">
        <v>232</v>
      </c>
      <c r="L128" s="5">
        <v>15</v>
      </c>
      <c r="M128" s="5">
        <v>3</v>
      </c>
      <c r="N128" s="5" t="s">
        <v>3</v>
      </c>
      <c r="O128" s="5">
        <v>2</v>
      </c>
      <c r="P128" s="5">
        <f>ROUND(Source!EU112,O128)</f>
        <v>0</v>
      </c>
      <c r="Q128" s="5"/>
      <c r="R128" s="5"/>
      <c r="S128" s="5"/>
      <c r="T128" s="5"/>
      <c r="U128" s="5"/>
      <c r="V128" s="5"/>
      <c r="W128" s="5"/>
      <c r="IF128">
        <v>-1</v>
      </c>
    </row>
    <row r="129" spans="1:240" x14ac:dyDescent="0.2">
      <c r="A129" s="5">
        <v>50</v>
      </c>
      <c r="B129" s="5">
        <v>0</v>
      </c>
      <c r="C129" s="5">
        <v>0</v>
      </c>
      <c r="D129" s="5">
        <v>1</v>
      </c>
      <c r="E129" s="5">
        <v>214</v>
      </c>
      <c r="F129" s="5">
        <f>ROUND(Source!AS112,O129)</f>
        <v>35956.699999999997</v>
      </c>
      <c r="G129" s="5" t="s">
        <v>167</v>
      </c>
      <c r="H129" s="5" t="s">
        <v>168</v>
      </c>
      <c r="I129" s="5"/>
      <c r="J129" s="5"/>
      <c r="K129" s="5">
        <v>214</v>
      </c>
      <c r="L129" s="5">
        <v>16</v>
      </c>
      <c r="M129" s="5">
        <v>3</v>
      </c>
      <c r="N129" s="5" t="s">
        <v>3</v>
      </c>
      <c r="O129" s="5">
        <v>2</v>
      </c>
      <c r="P129" s="5">
        <f>ROUND(Source!EK112,O129)</f>
        <v>449458.53</v>
      </c>
      <c r="Q129" s="5"/>
      <c r="R129" s="5"/>
      <c r="S129" s="5"/>
      <c r="T129" s="5"/>
      <c r="U129" s="5"/>
      <c r="V129" s="5"/>
      <c r="W129" s="5"/>
      <c r="IF129">
        <v>-1</v>
      </c>
    </row>
    <row r="130" spans="1:240" x14ac:dyDescent="0.2">
      <c r="A130" s="5">
        <v>50</v>
      </c>
      <c r="B130" s="5">
        <v>0</v>
      </c>
      <c r="C130" s="5">
        <v>0</v>
      </c>
      <c r="D130" s="5">
        <v>1</v>
      </c>
      <c r="E130" s="5">
        <v>215</v>
      </c>
      <c r="F130" s="5">
        <f>ROUND(Source!AT112,O130)</f>
        <v>3952.25</v>
      </c>
      <c r="G130" s="5" t="s">
        <v>169</v>
      </c>
      <c r="H130" s="5" t="s">
        <v>170</v>
      </c>
      <c r="I130" s="5"/>
      <c r="J130" s="5"/>
      <c r="K130" s="5">
        <v>215</v>
      </c>
      <c r="L130" s="5">
        <v>17</v>
      </c>
      <c r="M130" s="5">
        <v>3</v>
      </c>
      <c r="N130" s="5" t="s">
        <v>3</v>
      </c>
      <c r="O130" s="5">
        <v>2</v>
      </c>
      <c r="P130" s="5">
        <f>ROUND(Source!EL112,O130)</f>
        <v>49402.85</v>
      </c>
      <c r="Q130" s="5"/>
      <c r="R130" s="5"/>
      <c r="S130" s="5"/>
      <c r="T130" s="5"/>
      <c r="U130" s="5"/>
      <c r="V130" s="5"/>
      <c r="W130" s="5"/>
      <c r="IF130">
        <v>-1</v>
      </c>
    </row>
    <row r="131" spans="1:240" x14ac:dyDescent="0.2">
      <c r="A131" s="5">
        <v>50</v>
      </c>
      <c r="B131" s="5">
        <v>0</v>
      </c>
      <c r="C131" s="5">
        <v>0</v>
      </c>
      <c r="D131" s="5">
        <v>1</v>
      </c>
      <c r="E131" s="5">
        <v>217</v>
      </c>
      <c r="F131" s="5">
        <f>ROUND(Source!AU112,O131)</f>
        <v>7695.18</v>
      </c>
      <c r="G131" s="5" t="s">
        <v>171</v>
      </c>
      <c r="H131" s="5" t="s">
        <v>172</v>
      </c>
      <c r="I131" s="5"/>
      <c r="J131" s="5"/>
      <c r="K131" s="5">
        <v>217</v>
      </c>
      <c r="L131" s="5">
        <v>18</v>
      </c>
      <c r="M131" s="5">
        <v>3</v>
      </c>
      <c r="N131" s="5" t="s">
        <v>3</v>
      </c>
      <c r="O131" s="5">
        <v>2</v>
      </c>
      <c r="P131" s="5">
        <f>ROUND(Source!EM112,O131)</f>
        <v>140821.59</v>
      </c>
      <c r="Q131" s="5"/>
      <c r="R131" s="5"/>
      <c r="S131" s="5"/>
      <c r="T131" s="5"/>
      <c r="U131" s="5"/>
      <c r="V131" s="5"/>
      <c r="W131" s="5"/>
      <c r="IF131">
        <v>-1</v>
      </c>
    </row>
    <row r="132" spans="1:240" x14ac:dyDescent="0.2">
      <c r="A132" s="5">
        <v>50</v>
      </c>
      <c r="B132" s="5">
        <v>0</v>
      </c>
      <c r="C132" s="5">
        <v>0</v>
      </c>
      <c r="D132" s="5">
        <v>1</v>
      </c>
      <c r="E132" s="5">
        <v>230</v>
      </c>
      <c r="F132" s="5">
        <f>ROUND(Source!BA112,O132)</f>
        <v>0</v>
      </c>
      <c r="G132" s="5" t="s">
        <v>173</v>
      </c>
      <c r="H132" s="5" t="s">
        <v>174</v>
      </c>
      <c r="I132" s="5"/>
      <c r="J132" s="5"/>
      <c r="K132" s="5">
        <v>230</v>
      </c>
      <c r="L132" s="5">
        <v>19</v>
      </c>
      <c r="M132" s="5">
        <v>3</v>
      </c>
      <c r="N132" s="5" t="s">
        <v>3</v>
      </c>
      <c r="O132" s="5">
        <v>2</v>
      </c>
      <c r="P132" s="5">
        <f>ROUND(Source!ES112,O132)</f>
        <v>0</v>
      </c>
      <c r="Q132" s="5"/>
      <c r="R132" s="5"/>
      <c r="S132" s="5"/>
      <c r="T132" s="5"/>
      <c r="U132" s="5"/>
      <c r="V132" s="5"/>
      <c r="W132" s="5"/>
      <c r="IF132">
        <v>-1</v>
      </c>
    </row>
    <row r="133" spans="1:240" x14ac:dyDescent="0.2">
      <c r="A133" s="5">
        <v>50</v>
      </c>
      <c r="B133" s="5">
        <v>0</v>
      </c>
      <c r="C133" s="5">
        <v>0</v>
      </c>
      <c r="D133" s="5">
        <v>1</v>
      </c>
      <c r="E133" s="5">
        <v>206</v>
      </c>
      <c r="F133" s="5">
        <f>ROUND(Source!T112,O133)</f>
        <v>0</v>
      </c>
      <c r="G133" s="5" t="s">
        <v>175</v>
      </c>
      <c r="H133" s="5" t="s">
        <v>176</v>
      </c>
      <c r="I133" s="5"/>
      <c r="J133" s="5"/>
      <c r="K133" s="5">
        <v>206</v>
      </c>
      <c r="L133" s="5">
        <v>20</v>
      </c>
      <c r="M133" s="5">
        <v>3</v>
      </c>
      <c r="N133" s="5" t="s">
        <v>3</v>
      </c>
      <c r="O133" s="5">
        <v>2</v>
      </c>
      <c r="P133" s="5">
        <f>ROUND(Source!DL112,O133)</f>
        <v>0</v>
      </c>
      <c r="Q133" s="5"/>
      <c r="R133" s="5"/>
      <c r="S133" s="5"/>
      <c r="T133" s="5"/>
      <c r="U133" s="5"/>
      <c r="V133" s="5"/>
      <c r="W133" s="5"/>
      <c r="IF133">
        <v>-1</v>
      </c>
    </row>
    <row r="134" spans="1:240" x14ac:dyDescent="0.2">
      <c r="A134" s="5">
        <v>50</v>
      </c>
      <c r="B134" s="5">
        <v>0</v>
      </c>
      <c r="C134" s="5">
        <v>0</v>
      </c>
      <c r="D134" s="5">
        <v>1</v>
      </c>
      <c r="E134" s="5">
        <v>207</v>
      </c>
      <c r="F134" s="5">
        <f>Source!U112</f>
        <v>356.06594749999999</v>
      </c>
      <c r="G134" s="5" t="s">
        <v>177</v>
      </c>
      <c r="H134" s="5" t="s">
        <v>178</v>
      </c>
      <c r="I134" s="5"/>
      <c r="J134" s="5"/>
      <c r="K134" s="5">
        <v>207</v>
      </c>
      <c r="L134" s="5">
        <v>21</v>
      </c>
      <c r="M134" s="5">
        <v>3</v>
      </c>
      <c r="N134" s="5" t="s">
        <v>3</v>
      </c>
      <c r="O134" s="5">
        <v>-1</v>
      </c>
      <c r="P134" s="5">
        <f>Source!DM112</f>
        <v>356.06594749999999</v>
      </c>
      <c r="Q134" s="5"/>
      <c r="R134" s="5"/>
      <c r="S134" s="5"/>
      <c r="T134" s="5"/>
      <c r="U134" s="5"/>
      <c r="V134" s="5"/>
      <c r="W134" s="5"/>
      <c r="IF134">
        <v>-1</v>
      </c>
    </row>
    <row r="135" spans="1:240" x14ac:dyDescent="0.2">
      <c r="A135" s="5">
        <v>50</v>
      </c>
      <c r="B135" s="5">
        <v>0</v>
      </c>
      <c r="C135" s="5">
        <v>0</v>
      </c>
      <c r="D135" s="5">
        <v>1</v>
      </c>
      <c r="E135" s="5">
        <v>208</v>
      </c>
      <c r="F135" s="5">
        <f>Source!V112</f>
        <v>7.7554389799999992</v>
      </c>
      <c r="G135" s="5" t="s">
        <v>179</v>
      </c>
      <c r="H135" s="5" t="s">
        <v>180</v>
      </c>
      <c r="I135" s="5"/>
      <c r="J135" s="5"/>
      <c r="K135" s="5">
        <v>208</v>
      </c>
      <c r="L135" s="5">
        <v>22</v>
      </c>
      <c r="M135" s="5">
        <v>3</v>
      </c>
      <c r="N135" s="5" t="s">
        <v>3</v>
      </c>
      <c r="O135" s="5">
        <v>-1</v>
      </c>
      <c r="P135" s="5">
        <f>Source!DN112</f>
        <v>7.7554389799999992</v>
      </c>
      <c r="Q135" s="5"/>
      <c r="R135" s="5"/>
      <c r="S135" s="5"/>
      <c r="T135" s="5"/>
      <c r="U135" s="5"/>
      <c r="V135" s="5"/>
      <c r="W135" s="5"/>
      <c r="IF135">
        <v>-1</v>
      </c>
    </row>
    <row r="136" spans="1:240" x14ac:dyDescent="0.2">
      <c r="A136" s="5">
        <v>50</v>
      </c>
      <c r="B136" s="5">
        <v>0</v>
      </c>
      <c r="C136" s="5">
        <v>0</v>
      </c>
      <c r="D136" s="5">
        <v>1</v>
      </c>
      <c r="E136" s="5">
        <v>209</v>
      </c>
      <c r="F136" s="5">
        <f>ROUND(Source!W112,O136)</f>
        <v>0</v>
      </c>
      <c r="G136" s="5" t="s">
        <v>181</v>
      </c>
      <c r="H136" s="5" t="s">
        <v>182</v>
      </c>
      <c r="I136" s="5"/>
      <c r="J136" s="5"/>
      <c r="K136" s="5">
        <v>209</v>
      </c>
      <c r="L136" s="5">
        <v>23</v>
      </c>
      <c r="M136" s="5">
        <v>3</v>
      </c>
      <c r="N136" s="5" t="s">
        <v>3</v>
      </c>
      <c r="O136" s="5">
        <v>2</v>
      </c>
      <c r="P136" s="5">
        <f>ROUND(Source!DO112,O136)</f>
        <v>0</v>
      </c>
      <c r="Q136" s="5"/>
      <c r="R136" s="5"/>
      <c r="S136" s="5"/>
      <c r="T136" s="5"/>
      <c r="U136" s="5"/>
      <c r="V136" s="5"/>
      <c r="W136" s="5"/>
      <c r="IF136">
        <v>-1</v>
      </c>
    </row>
    <row r="137" spans="1:240" x14ac:dyDescent="0.2">
      <c r="A137" s="5">
        <v>50</v>
      </c>
      <c r="B137" s="5">
        <v>0</v>
      </c>
      <c r="C137" s="5">
        <v>0</v>
      </c>
      <c r="D137" s="5">
        <v>1</v>
      </c>
      <c r="E137" s="5">
        <v>210</v>
      </c>
      <c r="F137" s="5">
        <f>ROUND(Source!X112,O137)</f>
        <v>3277.9</v>
      </c>
      <c r="G137" s="5" t="s">
        <v>183</v>
      </c>
      <c r="H137" s="5" t="s">
        <v>184</v>
      </c>
      <c r="I137" s="5"/>
      <c r="J137" s="5"/>
      <c r="K137" s="5">
        <v>210</v>
      </c>
      <c r="L137" s="5">
        <v>24</v>
      </c>
      <c r="M137" s="5">
        <v>3</v>
      </c>
      <c r="N137" s="5" t="s">
        <v>3</v>
      </c>
      <c r="O137" s="5">
        <v>2</v>
      </c>
      <c r="P137" s="5">
        <f>ROUND(Source!DP112,O137)</f>
        <v>55125.02</v>
      </c>
      <c r="Q137" s="5"/>
      <c r="R137" s="5"/>
      <c r="S137" s="5"/>
      <c r="T137" s="5"/>
      <c r="U137" s="5"/>
      <c r="V137" s="5"/>
      <c r="W137" s="5"/>
      <c r="IF137">
        <v>-1</v>
      </c>
    </row>
    <row r="138" spans="1:240" x14ac:dyDescent="0.2">
      <c r="A138" s="5">
        <v>50</v>
      </c>
      <c r="B138" s="5">
        <v>0</v>
      </c>
      <c r="C138" s="5">
        <v>0</v>
      </c>
      <c r="D138" s="5">
        <v>1</v>
      </c>
      <c r="E138" s="5">
        <v>211</v>
      </c>
      <c r="F138" s="5">
        <f>ROUND(Source!Y112,O138)</f>
        <v>2081.63</v>
      </c>
      <c r="G138" s="5" t="s">
        <v>185</v>
      </c>
      <c r="H138" s="5" t="s">
        <v>186</v>
      </c>
      <c r="I138" s="5"/>
      <c r="J138" s="5"/>
      <c r="K138" s="5">
        <v>211</v>
      </c>
      <c r="L138" s="5">
        <v>25</v>
      </c>
      <c r="M138" s="5">
        <v>3</v>
      </c>
      <c r="N138" s="5" t="s">
        <v>3</v>
      </c>
      <c r="O138" s="5">
        <v>2</v>
      </c>
      <c r="P138" s="5">
        <f>ROUND(Source!DQ112,O138)</f>
        <v>34728.89</v>
      </c>
      <c r="Q138" s="5"/>
      <c r="R138" s="5"/>
      <c r="S138" s="5"/>
      <c r="T138" s="5"/>
      <c r="U138" s="5"/>
      <c r="V138" s="5"/>
      <c r="W138" s="5"/>
      <c r="IF138">
        <v>-1</v>
      </c>
    </row>
    <row r="139" spans="1:240" x14ac:dyDescent="0.2">
      <c r="A139" s="5">
        <v>50</v>
      </c>
      <c r="B139" s="5">
        <v>0</v>
      </c>
      <c r="C139" s="5">
        <v>0</v>
      </c>
      <c r="D139" s="5">
        <v>1</v>
      </c>
      <c r="E139" s="5">
        <v>224</v>
      </c>
      <c r="F139" s="5">
        <f>ROUND(Source!AR112,O139)</f>
        <v>47604.13</v>
      </c>
      <c r="G139" s="5" t="s">
        <v>187</v>
      </c>
      <c r="H139" s="5" t="s">
        <v>188</v>
      </c>
      <c r="I139" s="5"/>
      <c r="J139" s="5"/>
      <c r="K139" s="5">
        <v>224</v>
      </c>
      <c r="L139" s="5">
        <v>26</v>
      </c>
      <c r="M139" s="5">
        <v>3</v>
      </c>
      <c r="N139" s="5" t="s">
        <v>3</v>
      </c>
      <c r="O139" s="5">
        <v>2</v>
      </c>
      <c r="P139" s="5">
        <f>ROUND(Source!EJ112,O139)</f>
        <v>639682.97</v>
      </c>
      <c r="Q139" s="5"/>
      <c r="R139" s="5"/>
      <c r="S139" s="5"/>
      <c r="T139" s="5"/>
      <c r="U139" s="5"/>
      <c r="V139" s="5"/>
      <c r="W139" s="5"/>
      <c r="IF139">
        <v>-1</v>
      </c>
    </row>
    <row r="140" spans="1:240" x14ac:dyDescent="0.2">
      <c r="IF140">
        <v>-1</v>
      </c>
    </row>
    <row r="141" spans="1:240" x14ac:dyDescent="0.2">
      <c r="IF141">
        <v>-1</v>
      </c>
    </row>
    <row r="142" spans="1:240" x14ac:dyDescent="0.2">
      <c r="A142">
        <v>70</v>
      </c>
      <c r="B142">
        <v>1</v>
      </c>
      <c r="D142">
        <v>1</v>
      </c>
      <c r="E142" t="s">
        <v>189</v>
      </c>
      <c r="F142" t="s">
        <v>190</v>
      </c>
      <c r="G142">
        <v>1</v>
      </c>
      <c r="H142">
        <v>0</v>
      </c>
      <c r="I142" t="s">
        <v>191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  <c r="IF142">
        <v>-1</v>
      </c>
    </row>
    <row r="143" spans="1:240" x14ac:dyDescent="0.2">
      <c r="A143">
        <v>70</v>
      </c>
      <c r="B143">
        <v>1</v>
      </c>
      <c r="D143">
        <v>2</v>
      </c>
      <c r="E143" t="s">
        <v>192</v>
      </c>
      <c r="F143" t="s">
        <v>193</v>
      </c>
      <c r="G143">
        <v>0</v>
      </c>
      <c r="H143">
        <v>0</v>
      </c>
      <c r="I143" t="s">
        <v>191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  <c r="IF143">
        <v>-1</v>
      </c>
    </row>
    <row r="144" spans="1:240" x14ac:dyDescent="0.2">
      <c r="A144">
        <v>70</v>
      </c>
      <c r="B144">
        <v>1</v>
      </c>
      <c r="D144">
        <v>3</v>
      </c>
      <c r="E144" t="s">
        <v>194</v>
      </c>
      <c r="F144" t="s">
        <v>195</v>
      </c>
      <c r="G144">
        <v>0</v>
      </c>
      <c r="H144">
        <v>0</v>
      </c>
      <c r="I144" t="s">
        <v>191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  <c r="IF144">
        <v>-1</v>
      </c>
    </row>
    <row r="145" spans="1:240" x14ac:dyDescent="0.2">
      <c r="A145">
        <v>70</v>
      </c>
      <c r="B145">
        <v>1</v>
      </c>
      <c r="D145">
        <v>4</v>
      </c>
      <c r="E145" t="s">
        <v>196</v>
      </c>
      <c r="F145" t="s">
        <v>197</v>
      </c>
      <c r="G145">
        <v>0</v>
      </c>
      <c r="H145">
        <v>0</v>
      </c>
      <c r="I145" t="s">
        <v>191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  <c r="IF145">
        <v>-1</v>
      </c>
    </row>
    <row r="146" spans="1:240" x14ac:dyDescent="0.2">
      <c r="A146">
        <v>70</v>
      </c>
      <c r="B146">
        <v>1</v>
      </c>
      <c r="D146">
        <v>5</v>
      </c>
      <c r="E146" t="s">
        <v>198</v>
      </c>
      <c r="F146" t="s">
        <v>199</v>
      </c>
      <c r="G146">
        <v>0</v>
      </c>
      <c r="H146">
        <v>0</v>
      </c>
      <c r="I146" t="s">
        <v>191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  <c r="IF146">
        <v>-1</v>
      </c>
    </row>
    <row r="147" spans="1:240" x14ac:dyDescent="0.2">
      <c r="A147">
        <v>70</v>
      </c>
      <c r="B147">
        <v>1</v>
      </c>
      <c r="D147">
        <v>6</v>
      </c>
      <c r="E147" t="s">
        <v>200</v>
      </c>
      <c r="F147" t="s">
        <v>201</v>
      </c>
      <c r="G147">
        <v>0</v>
      </c>
      <c r="H147">
        <v>0</v>
      </c>
      <c r="I147" t="s">
        <v>191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  <c r="IF147">
        <v>-1</v>
      </c>
    </row>
    <row r="148" spans="1:240" x14ac:dyDescent="0.2">
      <c r="A148">
        <v>70</v>
      </c>
      <c r="B148">
        <v>1</v>
      </c>
      <c r="D148">
        <v>7</v>
      </c>
      <c r="E148" t="s">
        <v>202</v>
      </c>
      <c r="F148" t="s">
        <v>203</v>
      </c>
      <c r="G148">
        <v>0</v>
      </c>
      <c r="H148">
        <v>0</v>
      </c>
      <c r="I148" t="s">
        <v>191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  <c r="IF148">
        <v>-1</v>
      </c>
    </row>
    <row r="149" spans="1:240" x14ac:dyDescent="0.2">
      <c r="A149">
        <v>70</v>
      </c>
      <c r="B149">
        <v>1</v>
      </c>
      <c r="D149">
        <v>8</v>
      </c>
      <c r="E149" t="s">
        <v>204</v>
      </c>
      <c r="F149" t="s">
        <v>205</v>
      </c>
      <c r="G149">
        <v>0</v>
      </c>
      <c r="H149">
        <v>0</v>
      </c>
      <c r="I149" t="s">
        <v>191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</v>
      </c>
      <c r="IF149">
        <v>-1</v>
      </c>
    </row>
    <row r="150" spans="1:240" x14ac:dyDescent="0.2">
      <c r="A150">
        <v>70</v>
      </c>
      <c r="B150">
        <v>1</v>
      </c>
      <c r="D150">
        <v>9</v>
      </c>
      <c r="E150" t="s">
        <v>206</v>
      </c>
      <c r="F150" t="s">
        <v>207</v>
      </c>
      <c r="G150">
        <v>0</v>
      </c>
      <c r="H150">
        <v>0</v>
      </c>
      <c r="I150" t="s">
        <v>191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0</v>
      </c>
      <c r="IF150">
        <v>-1</v>
      </c>
    </row>
    <row r="151" spans="1:240" x14ac:dyDescent="0.2">
      <c r="A151">
        <v>70</v>
      </c>
      <c r="B151">
        <v>1</v>
      </c>
      <c r="D151">
        <v>1</v>
      </c>
      <c r="E151" t="s">
        <v>208</v>
      </c>
      <c r="F151" t="s">
        <v>209</v>
      </c>
      <c r="G151">
        <v>1</v>
      </c>
      <c r="H151">
        <v>1</v>
      </c>
      <c r="I151" t="s">
        <v>191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  <c r="IF151">
        <v>-1</v>
      </c>
    </row>
    <row r="152" spans="1:240" x14ac:dyDescent="0.2">
      <c r="A152">
        <v>70</v>
      </c>
      <c r="B152">
        <v>1</v>
      </c>
      <c r="D152">
        <v>2</v>
      </c>
      <c r="E152" t="s">
        <v>210</v>
      </c>
      <c r="F152" t="s">
        <v>211</v>
      </c>
      <c r="G152">
        <v>1</v>
      </c>
      <c r="H152">
        <v>1</v>
      </c>
      <c r="I152" t="s">
        <v>191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  <c r="IF152">
        <v>-1</v>
      </c>
    </row>
    <row r="153" spans="1:240" x14ac:dyDescent="0.2">
      <c r="A153">
        <v>70</v>
      </c>
      <c r="B153">
        <v>1</v>
      </c>
      <c r="D153">
        <v>3</v>
      </c>
      <c r="E153" t="s">
        <v>212</v>
      </c>
      <c r="F153" t="s">
        <v>213</v>
      </c>
      <c r="G153">
        <v>1</v>
      </c>
      <c r="H153">
        <v>0</v>
      </c>
      <c r="I153" t="s">
        <v>191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  <c r="IF153">
        <v>-1</v>
      </c>
    </row>
    <row r="154" spans="1:240" x14ac:dyDescent="0.2">
      <c r="A154">
        <v>70</v>
      </c>
      <c r="B154">
        <v>1</v>
      </c>
      <c r="D154">
        <v>4</v>
      </c>
      <c r="E154" t="s">
        <v>214</v>
      </c>
      <c r="F154" t="s">
        <v>215</v>
      </c>
      <c r="G154">
        <v>1</v>
      </c>
      <c r="H154">
        <v>0</v>
      </c>
      <c r="I154" t="s">
        <v>191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  <c r="IF154">
        <v>-1</v>
      </c>
    </row>
    <row r="155" spans="1:240" x14ac:dyDescent="0.2">
      <c r="A155">
        <v>70</v>
      </c>
      <c r="B155">
        <v>1</v>
      </c>
      <c r="D155">
        <v>5</v>
      </c>
      <c r="E155" t="s">
        <v>216</v>
      </c>
      <c r="F155" t="s">
        <v>217</v>
      </c>
      <c r="G155">
        <v>1</v>
      </c>
      <c r="H155">
        <v>0</v>
      </c>
      <c r="I155" t="s">
        <v>191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0.85</v>
      </c>
      <c r="IF155">
        <v>-1</v>
      </c>
    </row>
    <row r="156" spans="1:240" x14ac:dyDescent="0.2">
      <c r="A156">
        <v>70</v>
      </c>
      <c r="B156">
        <v>1</v>
      </c>
      <c r="D156">
        <v>6</v>
      </c>
      <c r="E156" t="s">
        <v>218</v>
      </c>
      <c r="F156" t="s">
        <v>219</v>
      </c>
      <c r="G156">
        <v>1</v>
      </c>
      <c r="H156">
        <v>0</v>
      </c>
      <c r="I156" t="s">
        <v>191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0.8</v>
      </c>
      <c r="IF156">
        <v>-1</v>
      </c>
    </row>
    <row r="157" spans="1:240" x14ac:dyDescent="0.2">
      <c r="A157">
        <v>70</v>
      </c>
      <c r="B157">
        <v>1</v>
      </c>
      <c r="D157">
        <v>7</v>
      </c>
      <c r="E157" t="s">
        <v>220</v>
      </c>
      <c r="F157" t="s">
        <v>221</v>
      </c>
      <c r="G157">
        <v>1</v>
      </c>
      <c r="H157">
        <v>0</v>
      </c>
      <c r="I157" t="s">
        <v>191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  <c r="IF157">
        <v>-1</v>
      </c>
    </row>
    <row r="158" spans="1:240" x14ac:dyDescent="0.2">
      <c r="A158">
        <v>70</v>
      </c>
      <c r="B158">
        <v>1</v>
      </c>
      <c r="D158">
        <v>8</v>
      </c>
      <c r="E158" t="s">
        <v>222</v>
      </c>
      <c r="F158" t="s">
        <v>223</v>
      </c>
      <c r="G158">
        <v>1</v>
      </c>
      <c r="H158">
        <v>0.8</v>
      </c>
      <c r="I158" t="s">
        <v>191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  <c r="IF158">
        <v>-1</v>
      </c>
    </row>
    <row r="159" spans="1:240" x14ac:dyDescent="0.2">
      <c r="A159">
        <v>70</v>
      </c>
      <c r="B159">
        <v>1</v>
      </c>
      <c r="D159">
        <v>9</v>
      </c>
      <c r="E159" t="s">
        <v>224</v>
      </c>
      <c r="F159" t="s">
        <v>225</v>
      </c>
      <c r="G159">
        <v>1</v>
      </c>
      <c r="H159">
        <v>0.85</v>
      </c>
      <c r="I159" t="s">
        <v>191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  <c r="IF159">
        <v>-1</v>
      </c>
    </row>
    <row r="160" spans="1:240" x14ac:dyDescent="0.2">
      <c r="A160">
        <v>70</v>
      </c>
      <c r="B160">
        <v>1</v>
      </c>
      <c r="D160">
        <v>10</v>
      </c>
      <c r="E160" t="s">
        <v>226</v>
      </c>
      <c r="F160" t="s">
        <v>227</v>
      </c>
      <c r="G160">
        <v>1</v>
      </c>
      <c r="H160">
        <v>0</v>
      </c>
      <c r="I160" t="s">
        <v>191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  <c r="IF160">
        <v>-1</v>
      </c>
    </row>
    <row r="161" spans="1:240" x14ac:dyDescent="0.2">
      <c r="A161">
        <v>70</v>
      </c>
      <c r="B161">
        <v>1</v>
      </c>
      <c r="D161">
        <v>11</v>
      </c>
      <c r="E161" t="s">
        <v>228</v>
      </c>
      <c r="F161" t="s">
        <v>229</v>
      </c>
      <c r="G161">
        <v>1</v>
      </c>
      <c r="H161">
        <v>0</v>
      </c>
      <c r="I161" t="s">
        <v>191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0.94</v>
      </c>
      <c r="IF161">
        <v>-1</v>
      </c>
    </row>
    <row r="162" spans="1:240" x14ac:dyDescent="0.2">
      <c r="A162">
        <v>70</v>
      </c>
      <c r="B162">
        <v>1</v>
      </c>
      <c r="D162">
        <v>12</v>
      </c>
      <c r="E162" t="s">
        <v>230</v>
      </c>
      <c r="F162" t="s">
        <v>231</v>
      </c>
      <c r="G162">
        <v>1</v>
      </c>
      <c r="H162">
        <v>0</v>
      </c>
      <c r="I162" t="s">
        <v>191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0.9</v>
      </c>
      <c r="IF162">
        <v>-1</v>
      </c>
    </row>
    <row r="163" spans="1:240" x14ac:dyDescent="0.2">
      <c r="A163">
        <v>70</v>
      </c>
      <c r="B163">
        <v>1</v>
      </c>
      <c r="D163">
        <v>13</v>
      </c>
      <c r="E163" t="s">
        <v>232</v>
      </c>
      <c r="F163" t="s">
        <v>233</v>
      </c>
      <c r="G163">
        <v>0.6</v>
      </c>
      <c r="H163">
        <v>0</v>
      </c>
      <c r="I163" t="s">
        <v>191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0.6</v>
      </c>
      <c r="IF163">
        <v>-1</v>
      </c>
    </row>
    <row r="164" spans="1:240" x14ac:dyDescent="0.2">
      <c r="A164">
        <v>70</v>
      </c>
      <c r="B164">
        <v>1</v>
      </c>
      <c r="D164">
        <v>14</v>
      </c>
      <c r="E164" t="s">
        <v>234</v>
      </c>
      <c r="F164" t="s">
        <v>235</v>
      </c>
      <c r="G164">
        <v>1</v>
      </c>
      <c r="H164">
        <v>0</v>
      </c>
      <c r="I164" t="s">
        <v>191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  <c r="IF164">
        <v>-1</v>
      </c>
    </row>
    <row r="165" spans="1:240" x14ac:dyDescent="0.2">
      <c r="A165">
        <v>70</v>
      </c>
      <c r="B165">
        <v>1</v>
      </c>
      <c r="D165">
        <v>15</v>
      </c>
      <c r="E165" t="s">
        <v>236</v>
      </c>
      <c r="F165" t="s">
        <v>237</v>
      </c>
      <c r="G165">
        <v>1.2</v>
      </c>
      <c r="H165">
        <v>0</v>
      </c>
      <c r="I165" t="s">
        <v>191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1.2</v>
      </c>
      <c r="IF165">
        <v>-1</v>
      </c>
    </row>
    <row r="166" spans="1:240" x14ac:dyDescent="0.2">
      <c r="A166">
        <v>70</v>
      </c>
      <c r="B166">
        <v>1</v>
      </c>
      <c r="D166">
        <v>16</v>
      </c>
      <c r="E166" t="s">
        <v>238</v>
      </c>
      <c r="F166" t="s">
        <v>239</v>
      </c>
      <c r="G166">
        <v>1</v>
      </c>
      <c r="H166">
        <v>0</v>
      </c>
      <c r="I166" t="s">
        <v>191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  <c r="IF166">
        <v>-1</v>
      </c>
    </row>
    <row r="167" spans="1:240" x14ac:dyDescent="0.2">
      <c r="A167">
        <v>70</v>
      </c>
      <c r="B167">
        <v>1</v>
      </c>
      <c r="D167">
        <v>17</v>
      </c>
      <c r="E167" t="s">
        <v>240</v>
      </c>
      <c r="F167" t="s">
        <v>241</v>
      </c>
      <c r="G167">
        <v>1</v>
      </c>
      <c r="H167">
        <v>0</v>
      </c>
      <c r="I167" t="s">
        <v>191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  <c r="IF167">
        <v>-1</v>
      </c>
    </row>
    <row r="168" spans="1:240" x14ac:dyDescent="0.2">
      <c r="A168">
        <v>70</v>
      </c>
      <c r="B168">
        <v>1</v>
      </c>
      <c r="D168">
        <v>18</v>
      </c>
      <c r="E168" t="s">
        <v>242</v>
      </c>
      <c r="F168" t="s">
        <v>243</v>
      </c>
      <c r="G168">
        <v>1</v>
      </c>
      <c r="H168">
        <v>0</v>
      </c>
      <c r="I168" t="s">
        <v>191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  <c r="IF168">
        <v>-1</v>
      </c>
    </row>
    <row r="169" spans="1:240" x14ac:dyDescent="0.2">
      <c r="A169">
        <v>70</v>
      </c>
      <c r="B169">
        <v>1</v>
      </c>
      <c r="D169">
        <v>19</v>
      </c>
      <c r="E169" t="s">
        <v>244</v>
      </c>
      <c r="F169" t="s">
        <v>241</v>
      </c>
      <c r="G169">
        <v>1</v>
      </c>
      <c r="H169">
        <v>0</v>
      </c>
      <c r="I169" t="s">
        <v>191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1</v>
      </c>
      <c r="IF169">
        <v>-1</v>
      </c>
    </row>
    <row r="170" spans="1:240" x14ac:dyDescent="0.2">
      <c r="A170">
        <v>70</v>
      </c>
      <c r="B170">
        <v>1</v>
      </c>
      <c r="D170">
        <v>20</v>
      </c>
      <c r="E170" t="s">
        <v>245</v>
      </c>
      <c r="F170" t="s">
        <v>243</v>
      </c>
      <c r="G170">
        <v>1</v>
      </c>
      <c r="H170">
        <v>0</v>
      </c>
      <c r="I170" t="s">
        <v>191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1</v>
      </c>
      <c r="IF170">
        <v>-1</v>
      </c>
    </row>
    <row r="171" spans="1:240" x14ac:dyDescent="0.2">
      <c r="A171">
        <v>70</v>
      </c>
      <c r="B171">
        <v>1</v>
      </c>
      <c r="D171">
        <v>21</v>
      </c>
      <c r="E171" t="s">
        <v>246</v>
      </c>
      <c r="F171" t="s">
        <v>247</v>
      </c>
      <c r="G171">
        <v>0</v>
      </c>
      <c r="H171">
        <v>0</v>
      </c>
      <c r="I171" t="s">
        <v>191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0</v>
      </c>
      <c r="IF171">
        <v>-1</v>
      </c>
    </row>
    <row r="172" spans="1:240" x14ac:dyDescent="0.2">
      <c r="IF172">
        <v>-1</v>
      </c>
    </row>
    <row r="173" spans="1:240" x14ac:dyDescent="0.2">
      <c r="A173">
        <v>-1</v>
      </c>
      <c r="IF173">
        <v>-1</v>
      </c>
    </row>
    <row r="174" spans="1:240" x14ac:dyDescent="0.2">
      <c r="IF174">
        <v>-1</v>
      </c>
    </row>
    <row r="175" spans="1:240" x14ac:dyDescent="0.2">
      <c r="A175" s="4">
        <v>75</v>
      </c>
      <c r="B175" s="4" t="s">
        <v>248</v>
      </c>
      <c r="C175" s="4">
        <v>2000</v>
      </c>
      <c r="D175" s="4">
        <v>0</v>
      </c>
      <c r="E175" s="4">
        <v>1</v>
      </c>
      <c r="F175" s="4">
        <v>0</v>
      </c>
      <c r="G175" s="4">
        <v>0</v>
      </c>
      <c r="H175" s="4">
        <v>1</v>
      </c>
      <c r="I175" s="4">
        <v>0</v>
      </c>
      <c r="J175" s="4">
        <v>4</v>
      </c>
      <c r="K175" s="4">
        <v>0</v>
      </c>
      <c r="L175" s="4">
        <v>0</v>
      </c>
      <c r="M175" s="4">
        <v>0</v>
      </c>
      <c r="N175" s="4">
        <v>34748518</v>
      </c>
      <c r="O175" s="4">
        <v>1</v>
      </c>
      <c r="IF175">
        <v>-1</v>
      </c>
    </row>
    <row r="176" spans="1:240" x14ac:dyDescent="0.2">
      <c r="A176" s="4">
        <v>75</v>
      </c>
      <c r="B176" s="4" t="s">
        <v>249</v>
      </c>
      <c r="C176" s="4">
        <v>2018</v>
      </c>
      <c r="D176" s="4">
        <v>1</v>
      </c>
      <c r="E176" s="4">
        <v>0</v>
      </c>
      <c r="F176" s="4">
        <v>0</v>
      </c>
      <c r="G176" s="4">
        <v>0</v>
      </c>
      <c r="H176" s="4">
        <v>1</v>
      </c>
      <c r="I176" s="4">
        <v>0</v>
      </c>
      <c r="J176" s="4">
        <v>4</v>
      </c>
      <c r="K176" s="4">
        <v>0</v>
      </c>
      <c r="L176" s="4">
        <v>0</v>
      </c>
      <c r="M176" s="4">
        <v>1</v>
      </c>
      <c r="N176" s="4">
        <v>34748540</v>
      </c>
      <c r="O176" s="4">
        <v>2</v>
      </c>
      <c r="IF176">
        <v>-1</v>
      </c>
    </row>
    <row r="177" spans="1:240" x14ac:dyDescent="0.2">
      <c r="A177" s="6">
        <v>3</v>
      </c>
      <c r="B177" s="6" t="s">
        <v>250</v>
      </c>
      <c r="C177" s="6">
        <v>12.5</v>
      </c>
      <c r="D177" s="6">
        <v>7.5</v>
      </c>
      <c r="E177" s="6">
        <v>12.5</v>
      </c>
      <c r="F177" s="6">
        <v>18.3</v>
      </c>
      <c r="G177" s="6">
        <v>18.3</v>
      </c>
      <c r="H177" s="6">
        <v>7.5</v>
      </c>
      <c r="I177" s="6">
        <v>18.3</v>
      </c>
      <c r="J177" s="6">
        <v>1</v>
      </c>
      <c r="K177" s="6">
        <v>18.3</v>
      </c>
      <c r="L177" s="6">
        <v>12.5</v>
      </c>
      <c r="M177" s="6">
        <v>12.5</v>
      </c>
      <c r="N177" s="6">
        <v>7.5</v>
      </c>
      <c r="O177" s="6">
        <v>7.5</v>
      </c>
      <c r="P177" s="6">
        <v>18.3</v>
      </c>
      <c r="Q177" s="6">
        <v>18.3</v>
      </c>
      <c r="R177" s="6">
        <v>12.5</v>
      </c>
      <c r="S177" s="6" t="s">
        <v>3</v>
      </c>
      <c r="T177" s="6" t="s">
        <v>3</v>
      </c>
      <c r="U177" s="6" t="s">
        <v>3</v>
      </c>
      <c r="V177" s="6" t="s">
        <v>3</v>
      </c>
      <c r="W177" s="6" t="s">
        <v>3</v>
      </c>
      <c r="X177" s="6" t="s">
        <v>3</v>
      </c>
      <c r="Y177" s="6" t="s">
        <v>3</v>
      </c>
      <c r="Z177" s="6" t="s">
        <v>3</v>
      </c>
      <c r="AA177" s="6" t="s">
        <v>3</v>
      </c>
      <c r="AB177" s="6" t="s">
        <v>3</v>
      </c>
      <c r="AC177" s="6" t="s">
        <v>3</v>
      </c>
      <c r="AD177" s="6" t="s">
        <v>3</v>
      </c>
      <c r="AE177" s="6" t="s">
        <v>3</v>
      </c>
      <c r="AF177" s="6" t="s">
        <v>3</v>
      </c>
      <c r="AG177" s="6" t="s">
        <v>3</v>
      </c>
      <c r="AH177" s="6" t="s">
        <v>3</v>
      </c>
      <c r="IF177">
        <v>-1</v>
      </c>
    </row>
    <row r="178" spans="1:240" x14ac:dyDescent="0.2">
      <c r="IF178">
        <v>-1</v>
      </c>
    </row>
    <row r="179" spans="1:240" x14ac:dyDescent="0.2">
      <c r="IF179">
        <v>-1</v>
      </c>
    </row>
    <row r="180" spans="1:240" x14ac:dyDescent="0.2">
      <c r="IF180">
        <v>-1</v>
      </c>
    </row>
    <row r="181" spans="1:240" x14ac:dyDescent="0.2">
      <c r="A181">
        <v>65</v>
      </c>
      <c r="C181">
        <v>1</v>
      </c>
      <c r="D181">
        <v>0</v>
      </c>
      <c r="E181">
        <v>245</v>
      </c>
      <c r="IF181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251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565256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34748518</v>
      </c>
      <c r="E14" s="1">
        <v>34748540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12</v>
      </c>
      <c r="D16" s="7" t="s">
        <v>12</v>
      </c>
      <c r="E16" s="8">
        <f>(Source!F100)/1000</f>
        <v>35.956699999999998</v>
      </c>
      <c r="F16" s="8">
        <f>(Source!F101)/1000</f>
        <v>3.9522499999999998</v>
      </c>
      <c r="G16" s="8">
        <f>(Source!F92)/1000</f>
        <v>0</v>
      </c>
      <c r="H16" s="8">
        <f>(Source!F102)/1000+(Source!F103)/1000</f>
        <v>7.6951800000000006</v>
      </c>
      <c r="I16" s="8">
        <f>E16+F16+G16+H16</f>
        <v>47.604129999999998</v>
      </c>
      <c r="J16" s="8">
        <f>(Source!F98)/1000</f>
        <v>4.5548400000000004</v>
      </c>
      <c r="T16" s="9">
        <f>(Source!P100)/1000</f>
        <v>449.45853000000005</v>
      </c>
      <c r="U16" s="9">
        <f>(Source!P101)/1000</f>
        <v>49.402850000000001</v>
      </c>
      <c r="V16" s="9">
        <f>(Source!P92)/1000</f>
        <v>0</v>
      </c>
      <c r="W16" s="9">
        <f>(Source!P102)/1000+(Source!P103)/1000</f>
        <v>140.82158999999999</v>
      </c>
      <c r="X16" s="9">
        <f>T16+U16+V16+W16</f>
        <v>639.68297000000007</v>
      </c>
      <c r="Y16" s="9">
        <f>(Source!P98)/1000</f>
        <v>78.707189999999997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42244.6</v>
      </c>
      <c r="AU16" s="8">
        <v>36836.949999999997</v>
      </c>
      <c r="AV16" s="8">
        <v>0</v>
      </c>
      <c r="AW16" s="8">
        <v>0</v>
      </c>
      <c r="AX16" s="8">
        <v>0</v>
      </c>
      <c r="AY16" s="8">
        <v>852.81</v>
      </c>
      <c r="AZ16" s="8">
        <v>102.36</v>
      </c>
      <c r="BA16" s="8">
        <v>4554.84</v>
      </c>
      <c r="BB16" s="8">
        <v>35956.699999999997</v>
      </c>
      <c r="BC16" s="8">
        <v>3952.25</v>
      </c>
      <c r="BD16" s="8">
        <v>7695.18</v>
      </c>
      <c r="BE16" s="8">
        <v>0</v>
      </c>
      <c r="BF16" s="8">
        <v>356.06594749999999</v>
      </c>
      <c r="BG16" s="8">
        <v>7.7554389799999992</v>
      </c>
      <c r="BH16" s="8">
        <v>0</v>
      </c>
      <c r="BI16" s="8">
        <v>3277.9</v>
      </c>
      <c r="BJ16" s="8">
        <v>2081.63</v>
      </c>
      <c r="BK16" s="8">
        <v>47604.13</v>
      </c>
      <c r="BR16" s="9">
        <v>549829.06000000006</v>
      </c>
      <c r="BS16" s="9">
        <v>460461.78</v>
      </c>
      <c r="BT16" s="9">
        <v>0</v>
      </c>
      <c r="BU16" s="9">
        <v>0</v>
      </c>
      <c r="BV16" s="9">
        <v>0</v>
      </c>
      <c r="BW16" s="9">
        <v>10660.09</v>
      </c>
      <c r="BX16" s="9">
        <v>1279.56</v>
      </c>
      <c r="BY16" s="9">
        <v>78707.19</v>
      </c>
      <c r="BZ16" s="9">
        <v>449458.53</v>
      </c>
      <c r="CA16" s="9">
        <v>49402.85</v>
      </c>
      <c r="CB16" s="9">
        <v>140821.59</v>
      </c>
      <c r="CC16" s="9">
        <v>0</v>
      </c>
      <c r="CD16" s="9">
        <v>356.06594749999999</v>
      </c>
      <c r="CE16" s="9">
        <v>7.7554389799999992</v>
      </c>
      <c r="CF16" s="9">
        <v>0</v>
      </c>
      <c r="CG16" s="9">
        <v>55125.02</v>
      </c>
      <c r="CH16" s="9">
        <v>34728.89</v>
      </c>
      <c r="CI16" s="9">
        <v>639682.97</v>
      </c>
    </row>
    <row r="18" spans="1:40" x14ac:dyDescent="0.2">
      <c r="A18">
        <v>51</v>
      </c>
      <c r="E18" s="10">
        <f>SUMIF(A16:A17,3,E16:E17)</f>
        <v>35.956699999999998</v>
      </c>
      <c r="F18" s="10">
        <f>SUMIF(A16:A17,3,F16:F17)</f>
        <v>3.9522499999999998</v>
      </c>
      <c r="G18" s="10">
        <f>SUMIF(A16:A17,3,G16:G17)</f>
        <v>0</v>
      </c>
      <c r="H18" s="10">
        <f>SUMIF(A16:A17,3,H16:H17)</f>
        <v>7.6951800000000006</v>
      </c>
      <c r="I18" s="10">
        <f>SUMIF(A16:A17,3,I16:I17)</f>
        <v>47.604129999999998</v>
      </c>
      <c r="J18" s="10">
        <f>SUMIF(A16:A17,3,J16:J17)</f>
        <v>4.5548400000000004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449.45853000000005</v>
      </c>
      <c r="U18" s="3">
        <f>SUMIF(A16:A17,3,U16:U17)</f>
        <v>49.402850000000001</v>
      </c>
      <c r="V18" s="3">
        <f>SUMIF(A16:A17,3,V16:V17)</f>
        <v>0</v>
      </c>
      <c r="W18" s="3">
        <f>SUMIF(A16:A17,3,W16:W17)</f>
        <v>140.82158999999999</v>
      </c>
      <c r="X18" s="3">
        <f>SUMIF(A16:A17,3,X16:X17)</f>
        <v>639.68297000000007</v>
      </c>
      <c r="Y18" s="3">
        <f>SUMIF(A16:A17,3,Y16:Y17)</f>
        <v>78.707189999999997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42244.6</v>
      </c>
      <c r="G20" s="5" t="s">
        <v>137</v>
      </c>
      <c r="H20" s="5" t="s">
        <v>138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549829.06000000006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36836.949999999997</v>
      </c>
      <c r="G21" s="5" t="s">
        <v>139</v>
      </c>
      <c r="H21" s="5" t="s">
        <v>140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460461.78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141</v>
      </c>
      <c r="H22" s="5" t="s">
        <v>142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36836.949999999997</v>
      </c>
      <c r="G23" s="5" t="s">
        <v>143</v>
      </c>
      <c r="H23" s="5" t="s">
        <v>144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460461.78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36836.949999999997</v>
      </c>
      <c r="G24" s="5" t="s">
        <v>145</v>
      </c>
      <c r="H24" s="5" t="s">
        <v>146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460461.78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147</v>
      </c>
      <c r="H25" s="5" t="s">
        <v>148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36836.949999999997</v>
      </c>
      <c r="G26" s="5" t="s">
        <v>149</v>
      </c>
      <c r="H26" s="5" t="s">
        <v>150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460461.78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151</v>
      </c>
      <c r="H27" s="5" t="s">
        <v>152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153</v>
      </c>
      <c r="H28" s="5" t="s">
        <v>154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155</v>
      </c>
      <c r="H29" s="5" t="s">
        <v>156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852.81</v>
      </c>
      <c r="G30" s="5" t="s">
        <v>157</v>
      </c>
      <c r="H30" s="5" t="s">
        <v>158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10660.09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159</v>
      </c>
      <c r="H31" s="5" t="s">
        <v>160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102.36</v>
      </c>
      <c r="G32" s="5" t="s">
        <v>161</v>
      </c>
      <c r="H32" s="5" t="s">
        <v>162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1279.56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4554.84</v>
      </c>
      <c r="G33" s="5" t="s">
        <v>163</v>
      </c>
      <c r="H33" s="5" t="s">
        <v>164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78707.19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165</v>
      </c>
      <c r="H34" s="5" t="s">
        <v>166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35956.699999999997</v>
      </c>
      <c r="G35" s="5" t="s">
        <v>167</v>
      </c>
      <c r="H35" s="5" t="s">
        <v>168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449458.53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3952.25</v>
      </c>
      <c r="G36" s="5" t="s">
        <v>169</v>
      </c>
      <c r="H36" s="5" t="s">
        <v>170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49402.85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7695.18</v>
      </c>
      <c r="G37" s="5" t="s">
        <v>171</v>
      </c>
      <c r="H37" s="5" t="s">
        <v>172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140821.59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173</v>
      </c>
      <c r="H38" s="5" t="s">
        <v>174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175</v>
      </c>
      <c r="H39" s="5" t="s">
        <v>176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356.06594749999999</v>
      </c>
      <c r="G40" s="5" t="s">
        <v>177</v>
      </c>
      <c r="H40" s="5" t="s">
        <v>178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356.06594749999999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7.7554389799999992</v>
      </c>
      <c r="G41" s="5" t="s">
        <v>179</v>
      </c>
      <c r="H41" s="5" t="s">
        <v>180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7.7554389799999992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181</v>
      </c>
      <c r="H42" s="5" t="s">
        <v>182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3277.9</v>
      </c>
      <c r="G43" s="5" t="s">
        <v>183</v>
      </c>
      <c r="H43" s="5" t="s">
        <v>184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55125.02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2081.63</v>
      </c>
      <c r="G44" s="5" t="s">
        <v>185</v>
      </c>
      <c r="H44" s="5" t="s">
        <v>186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34728.89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47604.13</v>
      </c>
      <c r="G45" s="5" t="s">
        <v>187</v>
      </c>
      <c r="H45" s="5" t="s">
        <v>188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639682.97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248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34748518</v>
      </c>
      <c r="O50" s="4">
        <v>1</v>
      </c>
    </row>
    <row r="51" spans="1:34" x14ac:dyDescent="0.2">
      <c r="A51" s="4">
        <v>75</v>
      </c>
      <c r="B51" s="4" t="s">
        <v>249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34748540</v>
      </c>
      <c r="O51" s="4">
        <v>2</v>
      </c>
    </row>
    <row r="52" spans="1:34" x14ac:dyDescent="0.2">
      <c r="A52" s="6">
        <v>3</v>
      </c>
      <c r="B52" s="6" t="s">
        <v>250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1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4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34748518</v>
      </c>
      <c r="C1">
        <v>34748680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252</v>
      </c>
      <c r="J1" t="s">
        <v>3</v>
      </c>
      <c r="K1" t="s">
        <v>253</v>
      </c>
      <c r="L1">
        <v>1191</v>
      </c>
      <c r="N1">
        <v>1013</v>
      </c>
      <c r="O1" t="s">
        <v>254</v>
      </c>
      <c r="P1" t="s">
        <v>254</v>
      </c>
      <c r="Q1">
        <v>1</v>
      </c>
      <c r="W1">
        <v>0</v>
      </c>
      <c r="X1">
        <v>-400197608</v>
      </c>
      <c r="Y1">
        <v>5.49</v>
      </c>
      <c r="AA1">
        <v>0</v>
      </c>
      <c r="AB1">
        <v>0</v>
      </c>
      <c r="AC1">
        <v>0</v>
      </c>
      <c r="AD1">
        <v>8.5299999999999994</v>
      </c>
      <c r="AE1">
        <v>0</v>
      </c>
      <c r="AF1">
        <v>0</v>
      </c>
      <c r="AG1">
        <v>0</v>
      </c>
      <c r="AH1">
        <v>8.5299999999999994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5.49</v>
      </c>
      <c r="AU1" t="s">
        <v>3</v>
      </c>
      <c r="AV1">
        <v>1</v>
      </c>
      <c r="AW1">
        <v>2</v>
      </c>
      <c r="AX1">
        <v>34748681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0.43920000000000003</v>
      </c>
      <c r="CY1">
        <f>AD1</f>
        <v>8.5299999999999994</v>
      </c>
      <c r="CZ1">
        <f>AH1</f>
        <v>8.5299999999999994</v>
      </c>
      <c r="DA1">
        <f>AL1</f>
        <v>1</v>
      </c>
      <c r="DB1">
        <f t="shared" ref="DB1:DB32" si="0">ROUND(ROUND(AT1*CZ1,2),2)</f>
        <v>46.83</v>
      </c>
      <c r="DC1">
        <f t="shared" ref="DC1:DC32" si="1">ROUND(ROUND(AT1*AG1,2),2)</f>
        <v>0</v>
      </c>
      <c r="GQ1">
        <v>-1</v>
      </c>
      <c r="GR1">
        <v>-1</v>
      </c>
    </row>
    <row r="2" spans="1:200" x14ac:dyDescent="0.2">
      <c r="A2">
        <f>ROW(Source!A25)</f>
        <v>25</v>
      </c>
      <c r="B2">
        <v>34748540</v>
      </c>
      <c r="C2">
        <v>34748680</v>
      </c>
      <c r="D2">
        <v>31709863</v>
      </c>
      <c r="E2">
        <v>1</v>
      </c>
      <c r="F2">
        <v>1</v>
      </c>
      <c r="G2">
        <v>1</v>
      </c>
      <c r="H2">
        <v>1</v>
      </c>
      <c r="I2" t="s">
        <v>252</v>
      </c>
      <c r="J2" t="s">
        <v>3</v>
      </c>
      <c r="K2" t="s">
        <v>253</v>
      </c>
      <c r="L2">
        <v>1191</v>
      </c>
      <c r="N2">
        <v>1013</v>
      </c>
      <c r="O2" t="s">
        <v>254</v>
      </c>
      <c r="P2" t="s">
        <v>254</v>
      </c>
      <c r="Q2">
        <v>1</v>
      </c>
      <c r="W2">
        <v>0</v>
      </c>
      <c r="X2">
        <v>-400197608</v>
      </c>
      <c r="Y2">
        <v>5.49</v>
      </c>
      <c r="AA2">
        <v>0</v>
      </c>
      <c r="AB2">
        <v>0</v>
      </c>
      <c r="AC2">
        <v>0</v>
      </c>
      <c r="AD2">
        <v>106.63</v>
      </c>
      <c r="AE2">
        <v>0</v>
      </c>
      <c r="AF2">
        <v>0</v>
      </c>
      <c r="AG2">
        <v>0</v>
      </c>
      <c r="AH2">
        <v>8.5299999999999994</v>
      </c>
      <c r="AI2">
        <v>1</v>
      </c>
      <c r="AJ2">
        <v>1</v>
      </c>
      <c r="AK2">
        <v>1</v>
      </c>
      <c r="AL2">
        <v>12.5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5.49</v>
      </c>
      <c r="AU2" t="s">
        <v>3</v>
      </c>
      <c r="AV2">
        <v>1</v>
      </c>
      <c r="AW2">
        <v>2</v>
      </c>
      <c r="AX2">
        <v>34748681</v>
      </c>
      <c r="AY2">
        <v>1</v>
      </c>
      <c r="AZ2">
        <v>0</v>
      </c>
      <c r="BA2">
        <v>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Y2*Source!I25</f>
        <v>0.43920000000000003</v>
      </c>
      <c r="CY2">
        <f>AD2</f>
        <v>106.63</v>
      </c>
      <c r="CZ2">
        <f>AH2</f>
        <v>8.5299999999999994</v>
      </c>
      <c r="DA2">
        <f>AL2</f>
        <v>12.5</v>
      </c>
      <c r="DB2">
        <f t="shared" si="0"/>
        <v>46.83</v>
      </c>
      <c r="DC2">
        <f t="shared" si="1"/>
        <v>0</v>
      </c>
      <c r="GQ2">
        <v>-1</v>
      </c>
      <c r="GR2">
        <v>-1</v>
      </c>
    </row>
    <row r="3" spans="1:200" x14ac:dyDescent="0.2">
      <c r="A3">
        <f>ROW(Source!A26)</f>
        <v>26</v>
      </c>
      <c r="B3">
        <v>34748518</v>
      </c>
      <c r="C3">
        <v>34750765</v>
      </c>
      <c r="D3">
        <v>31715651</v>
      </c>
      <c r="E3">
        <v>1</v>
      </c>
      <c r="F3">
        <v>1</v>
      </c>
      <c r="G3">
        <v>1</v>
      </c>
      <c r="H3">
        <v>1</v>
      </c>
      <c r="I3" t="s">
        <v>255</v>
      </c>
      <c r="J3" t="s">
        <v>3</v>
      </c>
      <c r="K3" t="s">
        <v>256</v>
      </c>
      <c r="L3">
        <v>1191</v>
      </c>
      <c r="N3">
        <v>1013</v>
      </c>
      <c r="O3" t="s">
        <v>254</v>
      </c>
      <c r="P3" t="s">
        <v>254</v>
      </c>
      <c r="Q3">
        <v>1</v>
      </c>
      <c r="W3">
        <v>0</v>
      </c>
      <c r="X3">
        <v>1069510174</v>
      </c>
      <c r="Y3">
        <v>2.4300000000000002</v>
      </c>
      <c r="AA3">
        <v>0</v>
      </c>
      <c r="AB3">
        <v>0</v>
      </c>
      <c r="AC3">
        <v>0</v>
      </c>
      <c r="AD3">
        <v>9.6199999999999992</v>
      </c>
      <c r="AE3">
        <v>0</v>
      </c>
      <c r="AF3">
        <v>0</v>
      </c>
      <c r="AG3">
        <v>0</v>
      </c>
      <c r="AH3">
        <v>9.6199999999999992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2.4300000000000002</v>
      </c>
      <c r="AU3" t="s">
        <v>3</v>
      </c>
      <c r="AV3">
        <v>1</v>
      </c>
      <c r="AW3">
        <v>2</v>
      </c>
      <c r="AX3">
        <v>34750766</v>
      </c>
      <c r="AY3">
        <v>1</v>
      </c>
      <c r="AZ3">
        <v>0</v>
      </c>
      <c r="BA3">
        <v>5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Y3*Source!I26</f>
        <v>14.580000000000002</v>
      </c>
      <c r="CY3">
        <f>AD3</f>
        <v>9.6199999999999992</v>
      </c>
      <c r="CZ3">
        <f>AH3</f>
        <v>9.6199999999999992</v>
      </c>
      <c r="DA3">
        <f>AL3</f>
        <v>1</v>
      </c>
      <c r="DB3">
        <f t="shared" si="0"/>
        <v>23.38</v>
      </c>
      <c r="DC3">
        <f t="shared" si="1"/>
        <v>0</v>
      </c>
      <c r="GQ3">
        <v>-1</v>
      </c>
      <c r="GR3">
        <v>-1</v>
      </c>
    </row>
    <row r="4" spans="1:200" x14ac:dyDescent="0.2">
      <c r="A4">
        <f>ROW(Source!A26)</f>
        <v>26</v>
      </c>
      <c r="B4">
        <v>34748518</v>
      </c>
      <c r="C4">
        <v>34750765</v>
      </c>
      <c r="D4">
        <v>31709492</v>
      </c>
      <c r="E4">
        <v>1</v>
      </c>
      <c r="F4">
        <v>1</v>
      </c>
      <c r="G4">
        <v>1</v>
      </c>
      <c r="H4">
        <v>1</v>
      </c>
      <c r="I4" t="s">
        <v>257</v>
      </c>
      <c r="J4" t="s">
        <v>3</v>
      </c>
      <c r="K4" t="s">
        <v>258</v>
      </c>
      <c r="L4">
        <v>1191</v>
      </c>
      <c r="N4">
        <v>1013</v>
      </c>
      <c r="O4" t="s">
        <v>254</v>
      </c>
      <c r="P4" t="s">
        <v>254</v>
      </c>
      <c r="Q4">
        <v>1</v>
      </c>
      <c r="W4">
        <v>0</v>
      </c>
      <c r="X4">
        <v>-1417349443</v>
      </c>
      <c r="Y4">
        <v>0.1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0.1</v>
      </c>
      <c r="AU4" t="s">
        <v>3</v>
      </c>
      <c r="AV4">
        <v>2</v>
      </c>
      <c r="AW4">
        <v>2</v>
      </c>
      <c r="AX4">
        <v>34750767</v>
      </c>
      <c r="AY4">
        <v>1</v>
      </c>
      <c r="AZ4">
        <v>0</v>
      </c>
      <c r="BA4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Y4*Source!I26</f>
        <v>0.60000000000000009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  <c r="GQ4">
        <v>-1</v>
      </c>
      <c r="GR4">
        <v>-1</v>
      </c>
    </row>
    <row r="5" spans="1:200" x14ac:dyDescent="0.2">
      <c r="A5">
        <f>ROW(Source!A26)</f>
        <v>26</v>
      </c>
      <c r="B5">
        <v>34748518</v>
      </c>
      <c r="C5">
        <v>34750765</v>
      </c>
      <c r="D5">
        <v>31526753</v>
      </c>
      <c r="E5">
        <v>1</v>
      </c>
      <c r="F5">
        <v>1</v>
      </c>
      <c r="G5">
        <v>1</v>
      </c>
      <c r="H5">
        <v>2</v>
      </c>
      <c r="I5" t="s">
        <v>259</v>
      </c>
      <c r="J5" t="s">
        <v>260</v>
      </c>
      <c r="K5" t="s">
        <v>261</v>
      </c>
      <c r="L5">
        <v>1368</v>
      </c>
      <c r="N5">
        <v>1011</v>
      </c>
      <c r="O5" t="s">
        <v>262</v>
      </c>
      <c r="P5" t="s">
        <v>262</v>
      </c>
      <c r="Q5">
        <v>1</v>
      </c>
      <c r="W5">
        <v>0</v>
      </c>
      <c r="X5">
        <v>-1718674368</v>
      </c>
      <c r="Y5">
        <v>0.04</v>
      </c>
      <c r="AA5">
        <v>0</v>
      </c>
      <c r="AB5">
        <v>111.99</v>
      </c>
      <c r="AC5">
        <v>13.5</v>
      </c>
      <c r="AD5">
        <v>0</v>
      </c>
      <c r="AE5">
        <v>0</v>
      </c>
      <c r="AF5">
        <v>111.99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0.04</v>
      </c>
      <c r="AU5" t="s">
        <v>3</v>
      </c>
      <c r="AV5">
        <v>0</v>
      </c>
      <c r="AW5">
        <v>2</v>
      </c>
      <c r="AX5">
        <v>34750768</v>
      </c>
      <c r="AY5">
        <v>1</v>
      </c>
      <c r="AZ5">
        <v>0</v>
      </c>
      <c r="BA5">
        <v>7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0.24</v>
      </c>
      <c r="CY5">
        <f>AB5</f>
        <v>111.99</v>
      </c>
      <c r="CZ5">
        <f>AF5</f>
        <v>111.99</v>
      </c>
      <c r="DA5">
        <f>AJ5</f>
        <v>1</v>
      </c>
      <c r="DB5">
        <f t="shared" si="0"/>
        <v>4.4800000000000004</v>
      </c>
      <c r="DC5">
        <f t="shared" si="1"/>
        <v>0.54</v>
      </c>
      <c r="GQ5">
        <v>-1</v>
      </c>
      <c r="GR5">
        <v>-1</v>
      </c>
    </row>
    <row r="6" spans="1:200" x14ac:dyDescent="0.2">
      <c r="A6">
        <f>ROW(Source!A26)</f>
        <v>26</v>
      </c>
      <c r="B6">
        <v>34748518</v>
      </c>
      <c r="C6">
        <v>34750765</v>
      </c>
      <c r="D6">
        <v>31526949</v>
      </c>
      <c r="E6">
        <v>1</v>
      </c>
      <c r="F6">
        <v>1</v>
      </c>
      <c r="G6">
        <v>1</v>
      </c>
      <c r="H6">
        <v>2</v>
      </c>
      <c r="I6" t="s">
        <v>263</v>
      </c>
      <c r="J6" t="s">
        <v>264</v>
      </c>
      <c r="K6" t="s">
        <v>265</v>
      </c>
      <c r="L6">
        <v>1368</v>
      </c>
      <c r="N6">
        <v>1011</v>
      </c>
      <c r="O6" t="s">
        <v>262</v>
      </c>
      <c r="P6" t="s">
        <v>262</v>
      </c>
      <c r="Q6">
        <v>1</v>
      </c>
      <c r="W6">
        <v>0</v>
      </c>
      <c r="X6">
        <v>-132295295</v>
      </c>
      <c r="Y6">
        <v>0.02</v>
      </c>
      <c r="AA6">
        <v>0</v>
      </c>
      <c r="AB6">
        <v>131.44</v>
      </c>
      <c r="AC6">
        <v>11.6</v>
      </c>
      <c r="AD6">
        <v>0</v>
      </c>
      <c r="AE6">
        <v>0</v>
      </c>
      <c r="AF6">
        <v>131.44</v>
      </c>
      <c r="AG6">
        <v>11.6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0.02</v>
      </c>
      <c r="AU6" t="s">
        <v>3</v>
      </c>
      <c r="AV6">
        <v>0</v>
      </c>
      <c r="AW6">
        <v>2</v>
      </c>
      <c r="AX6">
        <v>34750769</v>
      </c>
      <c r="AY6">
        <v>1</v>
      </c>
      <c r="AZ6">
        <v>0</v>
      </c>
      <c r="BA6">
        <v>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0.12</v>
      </c>
      <c r="CY6">
        <f>AB6</f>
        <v>131.44</v>
      </c>
      <c r="CZ6">
        <f>AF6</f>
        <v>131.44</v>
      </c>
      <c r="DA6">
        <f>AJ6</f>
        <v>1</v>
      </c>
      <c r="DB6">
        <f t="shared" si="0"/>
        <v>2.63</v>
      </c>
      <c r="DC6">
        <f t="shared" si="1"/>
        <v>0.23</v>
      </c>
      <c r="GQ6">
        <v>-1</v>
      </c>
      <c r="GR6">
        <v>-1</v>
      </c>
    </row>
    <row r="7" spans="1:200" x14ac:dyDescent="0.2">
      <c r="A7">
        <f>ROW(Source!A26)</f>
        <v>26</v>
      </c>
      <c r="B7">
        <v>34748518</v>
      </c>
      <c r="C7">
        <v>34750765</v>
      </c>
      <c r="D7">
        <v>31528142</v>
      </c>
      <c r="E7">
        <v>1</v>
      </c>
      <c r="F7">
        <v>1</v>
      </c>
      <c r="G7">
        <v>1</v>
      </c>
      <c r="H7">
        <v>2</v>
      </c>
      <c r="I7" t="s">
        <v>266</v>
      </c>
      <c r="J7" t="s">
        <v>267</v>
      </c>
      <c r="K7" t="s">
        <v>268</v>
      </c>
      <c r="L7">
        <v>1368</v>
      </c>
      <c r="N7">
        <v>1011</v>
      </c>
      <c r="O7" t="s">
        <v>262</v>
      </c>
      <c r="P7" t="s">
        <v>262</v>
      </c>
      <c r="Q7">
        <v>1</v>
      </c>
      <c r="W7">
        <v>0</v>
      </c>
      <c r="X7">
        <v>1372534845</v>
      </c>
      <c r="Y7">
        <v>0.04</v>
      </c>
      <c r="AA7">
        <v>0</v>
      </c>
      <c r="AB7">
        <v>65.709999999999994</v>
      </c>
      <c r="AC7">
        <v>11.6</v>
      </c>
      <c r="AD7">
        <v>0</v>
      </c>
      <c r="AE7">
        <v>0</v>
      </c>
      <c r="AF7">
        <v>65.709999999999994</v>
      </c>
      <c r="AG7">
        <v>11.6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0.04</v>
      </c>
      <c r="AU7" t="s">
        <v>3</v>
      </c>
      <c r="AV7">
        <v>0</v>
      </c>
      <c r="AW7">
        <v>2</v>
      </c>
      <c r="AX7">
        <v>34750770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0.24</v>
      </c>
      <c r="CY7">
        <f>AB7</f>
        <v>65.709999999999994</v>
      </c>
      <c r="CZ7">
        <f>AF7</f>
        <v>65.709999999999994</v>
      </c>
      <c r="DA7">
        <f>AJ7</f>
        <v>1</v>
      </c>
      <c r="DB7">
        <f t="shared" si="0"/>
        <v>2.63</v>
      </c>
      <c r="DC7">
        <f t="shared" si="1"/>
        <v>0.46</v>
      </c>
      <c r="GQ7">
        <v>-1</v>
      </c>
      <c r="GR7">
        <v>-1</v>
      </c>
    </row>
    <row r="8" spans="1:200" x14ac:dyDescent="0.2">
      <c r="A8">
        <f>ROW(Source!A26)</f>
        <v>26</v>
      </c>
      <c r="B8">
        <v>34748518</v>
      </c>
      <c r="C8">
        <v>34750765</v>
      </c>
      <c r="D8">
        <v>31449051</v>
      </c>
      <c r="E8">
        <v>1</v>
      </c>
      <c r="F8">
        <v>1</v>
      </c>
      <c r="G8">
        <v>1</v>
      </c>
      <c r="H8">
        <v>3</v>
      </c>
      <c r="I8" t="s">
        <v>269</v>
      </c>
      <c r="J8" t="s">
        <v>270</v>
      </c>
      <c r="K8" t="s">
        <v>271</v>
      </c>
      <c r="L8">
        <v>1346</v>
      </c>
      <c r="N8">
        <v>1009</v>
      </c>
      <c r="O8" t="s">
        <v>272</v>
      </c>
      <c r="P8" t="s">
        <v>272</v>
      </c>
      <c r="Q8">
        <v>1</v>
      </c>
      <c r="W8">
        <v>0</v>
      </c>
      <c r="X8">
        <v>103900845</v>
      </c>
      <c r="Y8">
        <v>0.39</v>
      </c>
      <c r="AA8">
        <v>9.0399999999999991</v>
      </c>
      <c r="AB8">
        <v>0</v>
      </c>
      <c r="AC8">
        <v>0</v>
      </c>
      <c r="AD8">
        <v>0</v>
      </c>
      <c r="AE8">
        <v>9.0399999999999991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0.39</v>
      </c>
      <c r="AU8" t="s">
        <v>3</v>
      </c>
      <c r="AV8">
        <v>0</v>
      </c>
      <c r="AW8">
        <v>2</v>
      </c>
      <c r="AX8">
        <v>34750771</v>
      </c>
      <c r="AY8">
        <v>1</v>
      </c>
      <c r="AZ8">
        <v>0</v>
      </c>
      <c r="BA8">
        <v>10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2.34</v>
      </c>
      <c r="CY8">
        <f>AA8</f>
        <v>9.0399999999999991</v>
      </c>
      <c r="CZ8">
        <f>AE8</f>
        <v>9.0399999999999991</v>
      </c>
      <c r="DA8">
        <f>AI8</f>
        <v>1</v>
      </c>
      <c r="DB8">
        <f t="shared" si="0"/>
        <v>3.53</v>
      </c>
      <c r="DC8">
        <f t="shared" si="1"/>
        <v>0</v>
      </c>
      <c r="DH8">
        <f>Source!I26*SmtRes!Y8</f>
        <v>2.34</v>
      </c>
      <c r="DI8">
        <f>AA8</f>
        <v>9.0399999999999991</v>
      </c>
      <c r="DJ8">
        <f>EtalonRes!Y10</f>
        <v>9.0399999999999991</v>
      </c>
      <c r="DK8">
        <f>Source!BC26</f>
        <v>1</v>
      </c>
      <c r="GQ8">
        <v>-1</v>
      </c>
      <c r="GR8">
        <v>-1</v>
      </c>
    </row>
    <row r="9" spans="1:200" x14ac:dyDescent="0.2">
      <c r="A9">
        <f>ROW(Source!A26)</f>
        <v>26</v>
      </c>
      <c r="B9">
        <v>34748518</v>
      </c>
      <c r="C9">
        <v>34750765</v>
      </c>
      <c r="D9">
        <v>31496552</v>
      </c>
      <c r="E9">
        <v>1</v>
      </c>
      <c r="F9">
        <v>1</v>
      </c>
      <c r="G9">
        <v>1</v>
      </c>
      <c r="H9">
        <v>3</v>
      </c>
      <c r="I9" t="s">
        <v>273</v>
      </c>
      <c r="J9" t="s">
        <v>274</v>
      </c>
      <c r="K9" t="s">
        <v>275</v>
      </c>
      <c r="L9">
        <v>1358</v>
      </c>
      <c r="N9">
        <v>1010</v>
      </c>
      <c r="O9" t="s">
        <v>276</v>
      </c>
      <c r="P9" t="s">
        <v>276</v>
      </c>
      <c r="Q9">
        <v>10</v>
      </c>
      <c r="W9">
        <v>0</v>
      </c>
      <c r="X9">
        <v>1386890308</v>
      </c>
      <c r="Y9">
        <v>0.1</v>
      </c>
      <c r="AA9">
        <v>39</v>
      </c>
      <c r="AB9">
        <v>0</v>
      </c>
      <c r="AC9">
        <v>0</v>
      </c>
      <c r="AD9">
        <v>0</v>
      </c>
      <c r="AE9">
        <v>39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0.1</v>
      </c>
      <c r="AU9" t="s">
        <v>3</v>
      </c>
      <c r="AV9">
        <v>0</v>
      </c>
      <c r="AW9">
        <v>2</v>
      </c>
      <c r="AX9">
        <v>34750772</v>
      </c>
      <c r="AY9">
        <v>1</v>
      </c>
      <c r="AZ9">
        <v>0</v>
      </c>
      <c r="BA9">
        <v>11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0.60000000000000009</v>
      </c>
      <c r="CY9">
        <f>AA9</f>
        <v>39</v>
      </c>
      <c r="CZ9">
        <f>AE9</f>
        <v>39</v>
      </c>
      <c r="DA9">
        <f>AI9</f>
        <v>1</v>
      </c>
      <c r="DB9">
        <f t="shared" si="0"/>
        <v>3.9</v>
      </c>
      <c r="DC9">
        <f t="shared" si="1"/>
        <v>0</v>
      </c>
      <c r="DH9">
        <f>Source!I26*SmtRes!Y9</f>
        <v>0.60000000000000009</v>
      </c>
      <c r="DI9">
        <f>AA9</f>
        <v>39</v>
      </c>
      <c r="DJ9">
        <f>EtalonRes!Y11</f>
        <v>39</v>
      </c>
      <c r="DK9">
        <f>Source!BC26</f>
        <v>1</v>
      </c>
      <c r="GQ9">
        <v>-1</v>
      </c>
      <c r="GR9">
        <v>-1</v>
      </c>
    </row>
    <row r="10" spans="1:200" x14ac:dyDescent="0.2">
      <c r="A10">
        <f>ROW(Source!A26)</f>
        <v>26</v>
      </c>
      <c r="B10">
        <v>34748518</v>
      </c>
      <c r="C10">
        <v>34750765</v>
      </c>
      <c r="D10">
        <v>31443668</v>
      </c>
      <c r="E10">
        <v>17</v>
      </c>
      <c r="F10">
        <v>1</v>
      </c>
      <c r="G10">
        <v>1</v>
      </c>
      <c r="H10">
        <v>3</v>
      </c>
      <c r="I10" t="s">
        <v>277</v>
      </c>
      <c r="J10" t="s">
        <v>3</v>
      </c>
      <c r="K10" t="s">
        <v>278</v>
      </c>
      <c r="L10">
        <v>1374</v>
      </c>
      <c r="N10">
        <v>1013</v>
      </c>
      <c r="O10" t="s">
        <v>279</v>
      </c>
      <c r="P10" t="s">
        <v>279</v>
      </c>
      <c r="Q10">
        <v>1</v>
      </c>
      <c r="W10">
        <v>0</v>
      </c>
      <c r="X10">
        <v>-1731369543</v>
      </c>
      <c r="Y10">
        <v>0.47</v>
      </c>
      <c r="AA10">
        <v>1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0</v>
      </c>
      <c r="AW10">
        <v>2</v>
      </c>
      <c r="AX10">
        <v>34750773</v>
      </c>
      <c r="AY10">
        <v>1</v>
      </c>
      <c r="AZ10">
        <v>0</v>
      </c>
      <c r="BA10">
        <v>12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AA10</f>
        <v>1</v>
      </c>
      <c r="CZ10">
        <f>AE10</f>
        <v>1</v>
      </c>
      <c r="DA10">
        <f>AI10</f>
        <v>1</v>
      </c>
      <c r="DB10">
        <f t="shared" si="0"/>
        <v>0.47</v>
      </c>
      <c r="DC10">
        <f t="shared" si="1"/>
        <v>0</v>
      </c>
      <c r="DH10">
        <f>Source!I26*SmtRes!Y10</f>
        <v>2.82</v>
      </c>
      <c r="DI10">
        <f>AA10</f>
        <v>1</v>
      </c>
      <c r="DJ10">
        <f>EtalonRes!Y12</f>
        <v>1</v>
      </c>
      <c r="DK10">
        <f>Source!BC26</f>
        <v>1</v>
      </c>
      <c r="GQ10">
        <v>-1</v>
      </c>
      <c r="GR10">
        <v>-1</v>
      </c>
    </row>
    <row r="11" spans="1:200" x14ac:dyDescent="0.2">
      <c r="A11">
        <f>ROW(Source!A27)</f>
        <v>27</v>
      </c>
      <c r="B11">
        <v>34748540</v>
      </c>
      <c r="C11">
        <v>34750765</v>
      </c>
      <c r="D11">
        <v>31715651</v>
      </c>
      <c r="E11">
        <v>1</v>
      </c>
      <c r="F11">
        <v>1</v>
      </c>
      <c r="G11">
        <v>1</v>
      </c>
      <c r="H11">
        <v>1</v>
      </c>
      <c r="I11" t="s">
        <v>255</v>
      </c>
      <c r="J11" t="s">
        <v>3</v>
      </c>
      <c r="K11" t="s">
        <v>256</v>
      </c>
      <c r="L11">
        <v>1191</v>
      </c>
      <c r="N11">
        <v>1013</v>
      </c>
      <c r="O11" t="s">
        <v>254</v>
      </c>
      <c r="P11" t="s">
        <v>254</v>
      </c>
      <c r="Q11">
        <v>1</v>
      </c>
      <c r="W11">
        <v>0</v>
      </c>
      <c r="X11">
        <v>1069510174</v>
      </c>
      <c r="Y11">
        <v>2.4300000000000002</v>
      </c>
      <c r="AA11">
        <v>0</v>
      </c>
      <c r="AB11">
        <v>0</v>
      </c>
      <c r="AC11">
        <v>0</v>
      </c>
      <c r="AD11">
        <v>120.25</v>
      </c>
      <c r="AE11">
        <v>0</v>
      </c>
      <c r="AF11">
        <v>0</v>
      </c>
      <c r="AG11">
        <v>0</v>
      </c>
      <c r="AH11">
        <v>9.6199999999999992</v>
      </c>
      <c r="AI11">
        <v>1</v>
      </c>
      <c r="AJ11">
        <v>1</v>
      </c>
      <c r="AK11">
        <v>1</v>
      </c>
      <c r="AL11">
        <v>12.5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2.4300000000000002</v>
      </c>
      <c r="AU11" t="s">
        <v>3</v>
      </c>
      <c r="AV11">
        <v>1</v>
      </c>
      <c r="AW11">
        <v>2</v>
      </c>
      <c r="AX11">
        <v>34750766</v>
      </c>
      <c r="AY11">
        <v>1</v>
      </c>
      <c r="AZ11">
        <v>0</v>
      </c>
      <c r="BA11">
        <v>13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Y11*Source!I27</f>
        <v>14.580000000000002</v>
      </c>
      <c r="CY11">
        <f>AD11</f>
        <v>120.25</v>
      </c>
      <c r="CZ11">
        <f>AH11</f>
        <v>9.6199999999999992</v>
      </c>
      <c r="DA11">
        <f>AL11</f>
        <v>12.5</v>
      </c>
      <c r="DB11">
        <f t="shared" si="0"/>
        <v>23.38</v>
      </c>
      <c r="DC11">
        <f t="shared" si="1"/>
        <v>0</v>
      </c>
      <c r="GQ11">
        <v>-1</v>
      </c>
      <c r="GR11">
        <v>-1</v>
      </c>
    </row>
    <row r="12" spans="1:200" x14ac:dyDescent="0.2">
      <c r="A12">
        <f>ROW(Source!A27)</f>
        <v>27</v>
      </c>
      <c r="B12">
        <v>34748540</v>
      </c>
      <c r="C12">
        <v>34750765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257</v>
      </c>
      <c r="J12" t="s">
        <v>3</v>
      </c>
      <c r="K12" t="s">
        <v>258</v>
      </c>
      <c r="L12">
        <v>1191</v>
      </c>
      <c r="N12">
        <v>1013</v>
      </c>
      <c r="O12" t="s">
        <v>254</v>
      </c>
      <c r="P12" t="s">
        <v>254</v>
      </c>
      <c r="Q12">
        <v>1</v>
      </c>
      <c r="W12">
        <v>0</v>
      </c>
      <c r="X12">
        <v>-1417349443</v>
      </c>
      <c r="Y12">
        <v>0.1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12.5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0.1</v>
      </c>
      <c r="AU12" t="s">
        <v>3</v>
      </c>
      <c r="AV12">
        <v>2</v>
      </c>
      <c r="AW12">
        <v>2</v>
      </c>
      <c r="AX12">
        <v>34750767</v>
      </c>
      <c r="AY12">
        <v>1</v>
      </c>
      <c r="AZ12">
        <v>0</v>
      </c>
      <c r="BA12">
        <v>14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Y12*Source!I27</f>
        <v>0.60000000000000009</v>
      </c>
      <c r="CY12">
        <f>AD12</f>
        <v>0</v>
      </c>
      <c r="CZ12">
        <f>AH12</f>
        <v>0</v>
      </c>
      <c r="DA12">
        <f>AL12</f>
        <v>1</v>
      </c>
      <c r="DB12">
        <f t="shared" si="0"/>
        <v>0</v>
      </c>
      <c r="DC12">
        <f t="shared" si="1"/>
        <v>0</v>
      </c>
      <c r="GQ12">
        <v>-1</v>
      </c>
      <c r="GR12">
        <v>-1</v>
      </c>
    </row>
    <row r="13" spans="1:200" x14ac:dyDescent="0.2">
      <c r="A13">
        <f>ROW(Source!A27)</f>
        <v>27</v>
      </c>
      <c r="B13">
        <v>34748540</v>
      </c>
      <c r="C13">
        <v>34750765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259</v>
      </c>
      <c r="J13" t="s">
        <v>260</v>
      </c>
      <c r="K13" t="s">
        <v>261</v>
      </c>
      <c r="L13">
        <v>1368</v>
      </c>
      <c r="N13">
        <v>1011</v>
      </c>
      <c r="O13" t="s">
        <v>262</v>
      </c>
      <c r="P13" t="s">
        <v>262</v>
      </c>
      <c r="Q13">
        <v>1</v>
      </c>
      <c r="W13">
        <v>0</v>
      </c>
      <c r="X13">
        <v>-1718674368</v>
      </c>
      <c r="Y13">
        <v>0.04</v>
      </c>
      <c r="AA13">
        <v>0</v>
      </c>
      <c r="AB13">
        <v>1399.88</v>
      </c>
      <c r="AC13">
        <v>13.5</v>
      </c>
      <c r="AD13">
        <v>0</v>
      </c>
      <c r="AE13">
        <v>0</v>
      </c>
      <c r="AF13">
        <v>111.99</v>
      </c>
      <c r="AG13">
        <v>13.5</v>
      </c>
      <c r="AH13">
        <v>0</v>
      </c>
      <c r="AI13">
        <v>1</v>
      </c>
      <c r="AJ13">
        <v>12.5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0.04</v>
      </c>
      <c r="AU13" t="s">
        <v>3</v>
      </c>
      <c r="AV13">
        <v>0</v>
      </c>
      <c r="AW13">
        <v>2</v>
      </c>
      <c r="AX13">
        <v>34750768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0.24</v>
      </c>
      <c r="CY13">
        <f>AB13</f>
        <v>1399.88</v>
      </c>
      <c r="CZ13">
        <f>AF13</f>
        <v>111.99</v>
      </c>
      <c r="DA13">
        <f>AJ13</f>
        <v>12.5</v>
      </c>
      <c r="DB13">
        <f t="shared" si="0"/>
        <v>4.4800000000000004</v>
      </c>
      <c r="DC13">
        <f t="shared" si="1"/>
        <v>0.54</v>
      </c>
      <c r="GQ13">
        <v>-1</v>
      </c>
      <c r="GR13">
        <v>-1</v>
      </c>
    </row>
    <row r="14" spans="1:200" x14ac:dyDescent="0.2">
      <c r="A14">
        <f>ROW(Source!A27)</f>
        <v>27</v>
      </c>
      <c r="B14">
        <v>34748540</v>
      </c>
      <c r="C14">
        <v>34750765</v>
      </c>
      <c r="D14">
        <v>31526949</v>
      </c>
      <c r="E14">
        <v>1</v>
      </c>
      <c r="F14">
        <v>1</v>
      </c>
      <c r="G14">
        <v>1</v>
      </c>
      <c r="H14">
        <v>2</v>
      </c>
      <c r="I14" t="s">
        <v>263</v>
      </c>
      <c r="J14" t="s">
        <v>264</v>
      </c>
      <c r="K14" t="s">
        <v>265</v>
      </c>
      <c r="L14">
        <v>1368</v>
      </c>
      <c r="N14">
        <v>1011</v>
      </c>
      <c r="O14" t="s">
        <v>262</v>
      </c>
      <c r="P14" t="s">
        <v>262</v>
      </c>
      <c r="Q14">
        <v>1</v>
      </c>
      <c r="W14">
        <v>0</v>
      </c>
      <c r="X14">
        <v>-132295295</v>
      </c>
      <c r="Y14">
        <v>0.02</v>
      </c>
      <c r="AA14">
        <v>0</v>
      </c>
      <c r="AB14">
        <v>1643</v>
      </c>
      <c r="AC14">
        <v>11.6</v>
      </c>
      <c r="AD14">
        <v>0</v>
      </c>
      <c r="AE14">
        <v>0</v>
      </c>
      <c r="AF14">
        <v>131.44</v>
      </c>
      <c r="AG14">
        <v>11.6</v>
      </c>
      <c r="AH14">
        <v>0</v>
      </c>
      <c r="AI14">
        <v>1</v>
      </c>
      <c r="AJ14">
        <v>12.5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0.02</v>
      </c>
      <c r="AU14" t="s">
        <v>3</v>
      </c>
      <c r="AV14">
        <v>0</v>
      </c>
      <c r="AW14">
        <v>2</v>
      </c>
      <c r="AX14">
        <v>34750769</v>
      </c>
      <c r="AY14">
        <v>1</v>
      </c>
      <c r="AZ14">
        <v>0</v>
      </c>
      <c r="BA14">
        <v>16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0.12</v>
      </c>
      <c r="CY14">
        <f>AB14</f>
        <v>1643</v>
      </c>
      <c r="CZ14">
        <f>AF14</f>
        <v>131.44</v>
      </c>
      <c r="DA14">
        <f>AJ14</f>
        <v>12.5</v>
      </c>
      <c r="DB14">
        <f t="shared" si="0"/>
        <v>2.63</v>
      </c>
      <c r="DC14">
        <f t="shared" si="1"/>
        <v>0.23</v>
      </c>
      <c r="GQ14">
        <v>-1</v>
      </c>
      <c r="GR14">
        <v>-1</v>
      </c>
    </row>
    <row r="15" spans="1:200" x14ac:dyDescent="0.2">
      <c r="A15">
        <f>ROW(Source!A27)</f>
        <v>27</v>
      </c>
      <c r="B15">
        <v>34748540</v>
      </c>
      <c r="C15">
        <v>34750765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262</v>
      </c>
      <c r="P15" t="s">
        <v>262</v>
      </c>
      <c r="Q15">
        <v>1</v>
      </c>
      <c r="W15">
        <v>0</v>
      </c>
      <c r="X15">
        <v>1372534845</v>
      </c>
      <c r="Y15">
        <v>0.04</v>
      </c>
      <c r="AA15">
        <v>0</v>
      </c>
      <c r="AB15">
        <v>821.38</v>
      </c>
      <c r="AC15">
        <v>11.6</v>
      </c>
      <c r="AD15">
        <v>0</v>
      </c>
      <c r="AE15">
        <v>0</v>
      </c>
      <c r="AF15">
        <v>65.709999999999994</v>
      </c>
      <c r="AG15">
        <v>11.6</v>
      </c>
      <c r="AH15">
        <v>0</v>
      </c>
      <c r="AI15">
        <v>1</v>
      </c>
      <c r="AJ15">
        <v>12.5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0.04</v>
      </c>
      <c r="AU15" t="s">
        <v>3</v>
      </c>
      <c r="AV15">
        <v>0</v>
      </c>
      <c r="AW15">
        <v>2</v>
      </c>
      <c r="AX15">
        <v>34750770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0.24</v>
      </c>
      <c r="CY15">
        <f>AB15</f>
        <v>821.38</v>
      </c>
      <c r="CZ15">
        <f>AF15</f>
        <v>65.709999999999994</v>
      </c>
      <c r="DA15">
        <f>AJ15</f>
        <v>12.5</v>
      </c>
      <c r="DB15">
        <f t="shared" si="0"/>
        <v>2.63</v>
      </c>
      <c r="DC15">
        <f t="shared" si="1"/>
        <v>0.46</v>
      </c>
      <c r="GQ15">
        <v>-1</v>
      </c>
      <c r="GR15">
        <v>-1</v>
      </c>
    </row>
    <row r="16" spans="1:200" x14ac:dyDescent="0.2">
      <c r="A16">
        <f>ROW(Source!A27)</f>
        <v>27</v>
      </c>
      <c r="B16">
        <v>34748540</v>
      </c>
      <c r="C16">
        <v>34750765</v>
      </c>
      <c r="D16">
        <v>31449051</v>
      </c>
      <c r="E16">
        <v>1</v>
      </c>
      <c r="F16">
        <v>1</v>
      </c>
      <c r="G16">
        <v>1</v>
      </c>
      <c r="H16">
        <v>3</v>
      </c>
      <c r="I16" t="s">
        <v>269</v>
      </c>
      <c r="J16" t="s">
        <v>270</v>
      </c>
      <c r="K16" t="s">
        <v>271</v>
      </c>
      <c r="L16">
        <v>1346</v>
      </c>
      <c r="N16">
        <v>1009</v>
      </c>
      <c r="O16" t="s">
        <v>272</v>
      </c>
      <c r="P16" t="s">
        <v>272</v>
      </c>
      <c r="Q16">
        <v>1</v>
      </c>
      <c r="W16">
        <v>0</v>
      </c>
      <c r="X16">
        <v>103900845</v>
      </c>
      <c r="Y16">
        <v>0.39</v>
      </c>
      <c r="AA16">
        <v>113</v>
      </c>
      <c r="AB16">
        <v>0</v>
      </c>
      <c r="AC16">
        <v>0</v>
      </c>
      <c r="AD16">
        <v>0</v>
      </c>
      <c r="AE16">
        <v>9.0399999999999991</v>
      </c>
      <c r="AF16">
        <v>0</v>
      </c>
      <c r="AG16">
        <v>0</v>
      </c>
      <c r="AH16">
        <v>0</v>
      </c>
      <c r="AI16">
        <v>12.5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0.39</v>
      </c>
      <c r="AU16" t="s">
        <v>3</v>
      </c>
      <c r="AV16">
        <v>0</v>
      </c>
      <c r="AW16">
        <v>2</v>
      </c>
      <c r="AX16">
        <v>34750771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2.34</v>
      </c>
      <c r="CY16">
        <f>AA16</f>
        <v>113</v>
      </c>
      <c r="CZ16">
        <f>AE16</f>
        <v>9.0399999999999991</v>
      </c>
      <c r="DA16">
        <f>AI16</f>
        <v>12.5</v>
      </c>
      <c r="DB16">
        <f t="shared" si="0"/>
        <v>3.53</v>
      </c>
      <c r="DC16">
        <f t="shared" si="1"/>
        <v>0</v>
      </c>
      <c r="DH16">
        <f>Source!I27*SmtRes!Y16</f>
        <v>2.34</v>
      </c>
      <c r="DI16">
        <f>AA16</f>
        <v>113</v>
      </c>
      <c r="DJ16">
        <f>EtalonRes!Y18</f>
        <v>9.0399999999999991</v>
      </c>
      <c r="DK16">
        <f>Source!BC27</f>
        <v>12.5</v>
      </c>
      <c r="GQ16">
        <v>-1</v>
      </c>
      <c r="GR16">
        <v>-1</v>
      </c>
    </row>
    <row r="17" spans="1:200" x14ac:dyDescent="0.2">
      <c r="A17">
        <f>ROW(Source!A27)</f>
        <v>27</v>
      </c>
      <c r="B17">
        <v>34748540</v>
      </c>
      <c r="C17">
        <v>34750765</v>
      </c>
      <c r="D17">
        <v>31496552</v>
      </c>
      <c r="E17">
        <v>1</v>
      </c>
      <c r="F17">
        <v>1</v>
      </c>
      <c r="G17">
        <v>1</v>
      </c>
      <c r="H17">
        <v>3</v>
      </c>
      <c r="I17" t="s">
        <v>273</v>
      </c>
      <c r="J17" t="s">
        <v>274</v>
      </c>
      <c r="K17" t="s">
        <v>275</v>
      </c>
      <c r="L17">
        <v>1358</v>
      </c>
      <c r="N17">
        <v>1010</v>
      </c>
      <c r="O17" t="s">
        <v>276</v>
      </c>
      <c r="P17" t="s">
        <v>276</v>
      </c>
      <c r="Q17">
        <v>10</v>
      </c>
      <c r="W17">
        <v>0</v>
      </c>
      <c r="X17">
        <v>1386890308</v>
      </c>
      <c r="Y17">
        <v>0.1</v>
      </c>
      <c r="AA17">
        <v>487.5</v>
      </c>
      <c r="AB17">
        <v>0</v>
      </c>
      <c r="AC17">
        <v>0</v>
      </c>
      <c r="AD17">
        <v>0</v>
      </c>
      <c r="AE17">
        <v>39</v>
      </c>
      <c r="AF17">
        <v>0</v>
      </c>
      <c r="AG17">
        <v>0</v>
      </c>
      <c r="AH17">
        <v>0</v>
      </c>
      <c r="AI17">
        <v>12.5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0.1</v>
      </c>
      <c r="AU17" t="s">
        <v>3</v>
      </c>
      <c r="AV17">
        <v>0</v>
      </c>
      <c r="AW17">
        <v>2</v>
      </c>
      <c r="AX17">
        <v>34750772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0.60000000000000009</v>
      </c>
      <c r="CY17">
        <f>AA17</f>
        <v>487.5</v>
      </c>
      <c r="CZ17">
        <f>AE17</f>
        <v>39</v>
      </c>
      <c r="DA17">
        <f>AI17</f>
        <v>12.5</v>
      </c>
      <c r="DB17">
        <f t="shared" si="0"/>
        <v>3.9</v>
      </c>
      <c r="DC17">
        <f t="shared" si="1"/>
        <v>0</v>
      </c>
      <c r="DH17">
        <f>Source!I27*SmtRes!Y17</f>
        <v>0.60000000000000009</v>
      </c>
      <c r="DI17">
        <f>AA17</f>
        <v>487.5</v>
      </c>
      <c r="DJ17">
        <f>EtalonRes!Y19</f>
        <v>39</v>
      </c>
      <c r="DK17">
        <f>Source!BC27</f>
        <v>12.5</v>
      </c>
      <c r="GQ17">
        <v>-1</v>
      </c>
      <c r="GR17">
        <v>-1</v>
      </c>
    </row>
    <row r="18" spans="1:200" x14ac:dyDescent="0.2">
      <c r="A18">
        <f>ROW(Source!A27)</f>
        <v>27</v>
      </c>
      <c r="B18">
        <v>34748540</v>
      </c>
      <c r="C18">
        <v>34750765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277</v>
      </c>
      <c r="J18" t="s">
        <v>3</v>
      </c>
      <c r="K18" t="s">
        <v>278</v>
      </c>
      <c r="L18">
        <v>1374</v>
      </c>
      <c r="N18">
        <v>1013</v>
      </c>
      <c r="O18" t="s">
        <v>279</v>
      </c>
      <c r="P18" t="s">
        <v>279</v>
      </c>
      <c r="Q18">
        <v>1</v>
      </c>
      <c r="W18">
        <v>0</v>
      </c>
      <c r="X18">
        <v>-1731369543</v>
      </c>
      <c r="Y18">
        <v>0.47</v>
      </c>
      <c r="AA18">
        <v>12.5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12.5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0.47</v>
      </c>
      <c r="AU18" t="s">
        <v>3</v>
      </c>
      <c r="AV18">
        <v>0</v>
      </c>
      <c r="AW18">
        <v>2</v>
      </c>
      <c r="AX18">
        <v>34750773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2.82</v>
      </c>
      <c r="CY18">
        <f>AA18</f>
        <v>12.5</v>
      </c>
      <c r="CZ18">
        <f>AE18</f>
        <v>1</v>
      </c>
      <c r="DA18">
        <f>AI18</f>
        <v>12.5</v>
      </c>
      <c r="DB18">
        <f t="shared" si="0"/>
        <v>0.47</v>
      </c>
      <c r="DC18">
        <f t="shared" si="1"/>
        <v>0</v>
      </c>
      <c r="DH18">
        <f>Source!I27*SmtRes!Y18</f>
        <v>2.82</v>
      </c>
      <c r="DI18">
        <f>AA18</f>
        <v>12.5</v>
      </c>
      <c r="DJ18">
        <f>EtalonRes!Y20</f>
        <v>1</v>
      </c>
      <c r="DK18">
        <f>Source!BC27</f>
        <v>12.5</v>
      </c>
      <c r="GQ18">
        <v>-1</v>
      </c>
      <c r="GR18">
        <v>-1</v>
      </c>
    </row>
    <row r="19" spans="1:200" x14ac:dyDescent="0.2">
      <c r="A19">
        <f>ROW(Source!A28)</f>
        <v>28</v>
      </c>
      <c r="B19">
        <v>34748518</v>
      </c>
      <c r="C19">
        <v>34750392</v>
      </c>
      <c r="D19">
        <v>32163326</v>
      </c>
      <c r="E19">
        <v>1</v>
      </c>
      <c r="F19">
        <v>1</v>
      </c>
      <c r="G19">
        <v>1</v>
      </c>
      <c r="H19">
        <v>1</v>
      </c>
      <c r="I19" t="s">
        <v>280</v>
      </c>
      <c r="J19" t="s">
        <v>3</v>
      </c>
      <c r="K19" t="s">
        <v>281</v>
      </c>
      <c r="L19">
        <v>1191</v>
      </c>
      <c r="N19">
        <v>1013</v>
      </c>
      <c r="O19" t="s">
        <v>254</v>
      </c>
      <c r="P19" t="s">
        <v>254</v>
      </c>
      <c r="Q19">
        <v>1</v>
      </c>
      <c r="W19">
        <v>0</v>
      </c>
      <c r="X19">
        <v>-1309109184</v>
      </c>
      <c r="Y19">
        <v>1.8</v>
      </c>
      <c r="AA19">
        <v>0</v>
      </c>
      <c r="AB19">
        <v>0</v>
      </c>
      <c r="AC19">
        <v>0</v>
      </c>
      <c r="AD19">
        <v>9.17</v>
      </c>
      <c r="AE19">
        <v>0</v>
      </c>
      <c r="AF19">
        <v>0</v>
      </c>
      <c r="AG19">
        <v>0</v>
      </c>
      <c r="AH19">
        <v>9.17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1.8</v>
      </c>
      <c r="AU19" t="s">
        <v>3</v>
      </c>
      <c r="AV19">
        <v>1</v>
      </c>
      <c r="AW19">
        <v>2</v>
      </c>
      <c r="AX19">
        <v>34750393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10.8</v>
      </c>
      <c r="CY19">
        <f t="shared" ref="CY19:CY24" si="2">AD19</f>
        <v>9.17</v>
      </c>
      <c r="CZ19">
        <f t="shared" ref="CZ19:CZ24" si="3">AH19</f>
        <v>9.17</v>
      </c>
      <c r="DA19">
        <f t="shared" ref="DA19:DA24" si="4">AL19</f>
        <v>1</v>
      </c>
      <c r="DB19">
        <f t="shared" si="0"/>
        <v>16.510000000000002</v>
      </c>
      <c r="DC19">
        <f t="shared" si="1"/>
        <v>0</v>
      </c>
      <c r="GQ19">
        <v>-1</v>
      </c>
      <c r="GR19">
        <v>-1</v>
      </c>
    </row>
    <row r="20" spans="1:200" x14ac:dyDescent="0.2">
      <c r="A20">
        <f>ROW(Source!A28)</f>
        <v>28</v>
      </c>
      <c r="B20">
        <v>34748518</v>
      </c>
      <c r="C20">
        <v>34750392</v>
      </c>
      <c r="D20">
        <v>32163380</v>
      </c>
      <c r="E20">
        <v>1</v>
      </c>
      <c r="F20">
        <v>1</v>
      </c>
      <c r="G20">
        <v>1</v>
      </c>
      <c r="H20">
        <v>1</v>
      </c>
      <c r="I20" t="s">
        <v>282</v>
      </c>
      <c r="J20" t="s">
        <v>3</v>
      </c>
      <c r="K20" t="s">
        <v>283</v>
      </c>
      <c r="L20">
        <v>1191</v>
      </c>
      <c r="N20">
        <v>1013</v>
      </c>
      <c r="O20" t="s">
        <v>254</v>
      </c>
      <c r="P20" t="s">
        <v>254</v>
      </c>
      <c r="Q20">
        <v>1</v>
      </c>
      <c r="W20">
        <v>0</v>
      </c>
      <c r="X20">
        <v>1818203118</v>
      </c>
      <c r="Y20">
        <v>2.7</v>
      </c>
      <c r="AA20">
        <v>0</v>
      </c>
      <c r="AB20">
        <v>0</v>
      </c>
      <c r="AC20">
        <v>0</v>
      </c>
      <c r="AD20">
        <v>14.09</v>
      </c>
      <c r="AE20">
        <v>0</v>
      </c>
      <c r="AF20">
        <v>0</v>
      </c>
      <c r="AG20">
        <v>0</v>
      </c>
      <c r="AH20">
        <v>14.09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2.7</v>
      </c>
      <c r="AU20" t="s">
        <v>3</v>
      </c>
      <c r="AV20">
        <v>1</v>
      </c>
      <c r="AW20">
        <v>2</v>
      </c>
      <c r="AX20">
        <v>34750394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Y20*Source!I28</f>
        <v>16.200000000000003</v>
      </c>
      <c r="CY20">
        <f t="shared" si="2"/>
        <v>14.09</v>
      </c>
      <c r="CZ20">
        <f t="shared" si="3"/>
        <v>14.09</v>
      </c>
      <c r="DA20">
        <f t="shared" si="4"/>
        <v>1</v>
      </c>
      <c r="DB20">
        <f t="shared" si="0"/>
        <v>38.04</v>
      </c>
      <c r="DC20">
        <f t="shared" si="1"/>
        <v>0</v>
      </c>
      <c r="GQ20">
        <v>-1</v>
      </c>
      <c r="GR20">
        <v>-1</v>
      </c>
    </row>
    <row r="21" spans="1:200" x14ac:dyDescent="0.2">
      <c r="A21">
        <f>ROW(Source!A29)</f>
        <v>29</v>
      </c>
      <c r="B21">
        <v>34748540</v>
      </c>
      <c r="C21">
        <v>34750392</v>
      </c>
      <c r="D21">
        <v>32163326</v>
      </c>
      <c r="E21">
        <v>1</v>
      </c>
      <c r="F21">
        <v>1</v>
      </c>
      <c r="G21">
        <v>1</v>
      </c>
      <c r="H21">
        <v>1</v>
      </c>
      <c r="I21" t="s">
        <v>280</v>
      </c>
      <c r="J21" t="s">
        <v>3</v>
      </c>
      <c r="K21" t="s">
        <v>281</v>
      </c>
      <c r="L21">
        <v>1191</v>
      </c>
      <c r="N21">
        <v>1013</v>
      </c>
      <c r="O21" t="s">
        <v>254</v>
      </c>
      <c r="P21" t="s">
        <v>254</v>
      </c>
      <c r="Q21">
        <v>1</v>
      </c>
      <c r="W21">
        <v>0</v>
      </c>
      <c r="X21">
        <v>-1309109184</v>
      </c>
      <c r="Y21">
        <v>1.8</v>
      </c>
      <c r="AA21">
        <v>0</v>
      </c>
      <c r="AB21">
        <v>0</v>
      </c>
      <c r="AC21">
        <v>0</v>
      </c>
      <c r="AD21">
        <v>114.63</v>
      </c>
      <c r="AE21">
        <v>0</v>
      </c>
      <c r="AF21">
        <v>0</v>
      </c>
      <c r="AG21">
        <v>0</v>
      </c>
      <c r="AH21">
        <v>9.17</v>
      </c>
      <c r="AI21">
        <v>1</v>
      </c>
      <c r="AJ21">
        <v>1</v>
      </c>
      <c r="AK21">
        <v>1</v>
      </c>
      <c r="AL21">
        <v>12.5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1.8</v>
      </c>
      <c r="AU21" t="s">
        <v>3</v>
      </c>
      <c r="AV21">
        <v>1</v>
      </c>
      <c r="AW21">
        <v>2</v>
      </c>
      <c r="AX21">
        <v>34750393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10.8</v>
      </c>
      <c r="CY21">
        <f t="shared" si="2"/>
        <v>114.63</v>
      </c>
      <c r="CZ21">
        <f t="shared" si="3"/>
        <v>9.17</v>
      </c>
      <c r="DA21">
        <f t="shared" si="4"/>
        <v>12.5</v>
      </c>
      <c r="DB21">
        <f t="shared" si="0"/>
        <v>16.510000000000002</v>
      </c>
      <c r="DC21">
        <f t="shared" si="1"/>
        <v>0</v>
      </c>
      <c r="GQ21">
        <v>-1</v>
      </c>
      <c r="GR21">
        <v>-1</v>
      </c>
    </row>
    <row r="22" spans="1:200" x14ac:dyDescent="0.2">
      <c r="A22">
        <f>ROW(Source!A29)</f>
        <v>29</v>
      </c>
      <c r="B22">
        <v>34748540</v>
      </c>
      <c r="C22">
        <v>34750392</v>
      </c>
      <c r="D22">
        <v>32163380</v>
      </c>
      <c r="E22">
        <v>1</v>
      </c>
      <c r="F22">
        <v>1</v>
      </c>
      <c r="G22">
        <v>1</v>
      </c>
      <c r="H22">
        <v>1</v>
      </c>
      <c r="I22" t="s">
        <v>282</v>
      </c>
      <c r="J22" t="s">
        <v>3</v>
      </c>
      <c r="K22" t="s">
        <v>283</v>
      </c>
      <c r="L22">
        <v>1191</v>
      </c>
      <c r="N22">
        <v>1013</v>
      </c>
      <c r="O22" t="s">
        <v>254</v>
      </c>
      <c r="P22" t="s">
        <v>254</v>
      </c>
      <c r="Q22">
        <v>1</v>
      </c>
      <c r="W22">
        <v>0</v>
      </c>
      <c r="X22">
        <v>1818203118</v>
      </c>
      <c r="Y22">
        <v>2.7</v>
      </c>
      <c r="AA22">
        <v>0</v>
      </c>
      <c r="AB22">
        <v>0</v>
      </c>
      <c r="AC22">
        <v>0</v>
      </c>
      <c r="AD22">
        <v>176.13</v>
      </c>
      <c r="AE22">
        <v>0</v>
      </c>
      <c r="AF22">
        <v>0</v>
      </c>
      <c r="AG22">
        <v>0</v>
      </c>
      <c r="AH22">
        <v>14.09</v>
      </c>
      <c r="AI22">
        <v>1</v>
      </c>
      <c r="AJ22">
        <v>1</v>
      </c>
      <c r="AK22">
        <v>1</v>
      </c>
      <c r="AL22">
        <v>12.5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2.7</v>
      </c>
      <c r="AU22" t="s">
        <v>3</v>
      </c>
      <c r="AV22">
        <v>1</v>
      </c>
      <c r="AW22">
        <v>2</v>
      </c>
      <c r="AX22">
        <v>34750394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16.200000000000003</v>
      </c>
      <c r="CY22">
        <f t="shared" si="2"/>
        <v>176.13</v>
      </c>
      <c r="CZ22">
        <f t="shared" si="3"/>
        <v>14.09</v>
      </c>
      <c r="DA22">
        <f t="shared" si="4"/>
        <v>12.5</v>
      </c>
      <c r="DB22">
        <f t="shared" si="0"/>
        <v>38.04</v>
      </c>
      <c r="DC22">
        <f t="shared" si="1"/>
        <v>0</v>
      </c>
      <c r="GQ22">
        <v>-1</v>
      </c>
      <c r="GR22">
        <v>-1</v>
      </c>
    </row>
    <row r="23" spans="1:200" x14ac:dyDescent="0.2">
      <c r="A23">
        <f>ROW(Source!A30)</f>
        <v>30</v>
      </c>
      <c r="B23">
        <v>34748518</v>
      </c>
      <c r="C23">
        <v>34750830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255</v>
      </c>
      <c r="J23" t="s">
        <v>3</v>
      </c>
      <c r="K23" t="s">
        <v>256</v>
      </c>
      <c r="L23">
        <v>1191</v>
      </c>
      <c r="N23">
        <v>1013</v>
      </c>
      <c r="O23" t="s">
        <v>254</v>
      </c>
      <c r="P23" t="s">
        <v>254</v>
      </c>
      <c r="Q23">
        <v>1</v>
      </c>
      <c r="W23">
        <v>0</v>
      </c>
      <c r="X23">
        <v>1069510174</v>
      </c>
      <c r="Y23">
        <v>19.399999999999999</v>
      </c>
      <c r="AA23">
        <v>0</v>
      </c>
      <c r="AB23">
        <v>0</v>
      </c>
      <c r="AC23">
        <v>0</v>
      </c>
      <c r="AD23">
        <v>9.6199999999999992</v>
      </c>
      <c r="AE23">
        <v>0</v>
      </c>
      <c r="AF23">
        <v>0</v>
      </c>
      <c r="AG23">
        <v>0</v>
      </c>
      <c r="AH23">
        <v>9.6199999999999992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19.399999999999999</v>
      </c>
      <c r="AU23" t="s">
        <v>3</v>
      </c>
      <c r="AV23">
        <v>1</v>
      </c>
      <c r="AW23">
        <v>2</v>
      </c>
      <c r="AX23">
        <v>34750831</v>
      </c>
      <c r="AY23">
        <v>1</v>
      </c>
      <c r="AZ23">
        <v>0</v>
      </c>
      <c r="BA23">
        <v>25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38.799999999999997</v>
      </c>
      <c r="CY23">
        <f t="shared" si="2"/>
        <v>9.6199999999999992</v>
      </c>
      <c r="CZ23">
        <f t="shared" si="3"/>
        <v>9.6199999999999992</v>
      </c>
      <c r="DA23">
        <f t="shared" si="4"/>
        <v>1</v>
      </c>
      <c r="DB23">
        <f t="shared" si="0"/>
        <v>186.63</v>
      </c>
      <c r="DC23">
        <f t="shared" si="1"/>
        <v>0</v>
      </c>
      <c r="GQ23">
        <v>-1</v>
      </c>
      <c r="GR23">
        <v>-1</v>
      </c>
    </row>
    <row r="24" spans="1:200" x14ac:dyDescent="0.2">
      <c r="A24">
        <f>ROW(Source!A30)</f>
        <v>30</v>
      </c>
      <c r="B24">
        <v>34748518</v>
      </c>
      <c r="C24">
        <v>34750830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257</v>
      </c>
      <c r="J24" t="s">
        <v>3</v>
      </c>
      <c r="K24" t="s">
        <v>258</v>
      </c>
      <c r="L24">
        <v>1191</v>
      </c>
      <c r="N24">
        <v>1013</v>
      </c>
      <c r="O24" t="s">
        <v>254</v>
      </c>
      <c r="P24" t="s">
        <v>254</v>
      </c>
      <c r="Q24">
        <v>1</v>
      </c>
      <c r="W24">
        <v>0</v>
      </c>
      <c r="X24">
        <v>-1417349443</v>
      </c>
      <c r="Y24">
        <v>3.42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3.42</v>
      </c>
      <c r="AU24" t="s">
        <v>3</v>
      </c>
      <c r="AV24">
        <v>2</v>
      </c>
      <c r="AW24">
        <v>2</v>
      </c>
      <c r="AX24">
        <v>34750832</v>
      </c>
      <c r="AY24">
        <v>1</v>
      </c>
      <c r="AZ24">
        <v>0</v>
      </c>
      <c r="BA24">
        <v>26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6.84</v>
      </c>
      <c r="CY24">
        <f t="shared" si="2"/>
        <v>0</v>
      </c>
      <c r="CZ24">
        <f t="shared" si="3"/>
        <v>0</v>
      </c>
      <c r="DA24">
        <f t="shared" si="4"/>
        <v>1</v>
      </c>
      <c r="DB24">
        <f t="shared" si="0"/>
        <v>0</v>
      </c>
      <c r="DC24">
        <f t="shared" si="1"/>
        <v>0</v>
      </c>
      <c r="GQ24">
        <v>-1</v>
      </c>
      <c r="GR24">
        <v>-1</v>
      </c>
    </row>
    <row r="25" spans="1:200" x14ac:dyDescent="0.2">
      <c r="A25">
        <f>ROW(Source!A30)</f>
        <v>30</v>
      </c>
      <c r="B25">
        <v>34748518</v>
      </c>
      <c r="C25">
        <v>34750830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259</v>
      </c>
      <c r="J25" t="s">
        <v>260</v>
      </c>
      <c r="K25" t="s">
        <v>261</v>
      </c>
      <c r="L25">
        <v>1368</v>
      </c>
      <c r="N25">
        <v>1011</v>
      </c>
      <c r="O25" t="s">
        <v>262</v>
      </c>
      <c r="P25" t="s">
        <v>262</v>
      </c>
      <c r="Q25">
        <v>1</v>
      </c>
      <c r="W25">
        <v>0</v>
      </c>
      <c r="X25">
        <v>-1718674368</v>
      </c>
      <c r="Y25">
        <v>3.18</v>
      </c>
      <c r="AA25">
        <v>0</v>
      </c>
      <c r="AB25">
        <v>111.99</v>
      </c>
      <c r="AC25">
        <v>13.5</v>
      </c>
      <c r="AD25">
        <v>0</v>
      </c>
      <c r="AE25">
        <v>0</v>
      </c>
      <c r="AF25">
        <v>111.99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3.18</v>
      </c>
      <c r="AU25" t="s">
        <v>3</v>
      </c>
      <c r="AV25">
        <v>0</v>
      </c>
      <c r="AW25">
        <v>2</v>
      </c>
      <c r="AX25">
        <v>34750833</v>
      </c>
      <c r="AY25">
        <v>1</v>
      </c>
      <c r="AZ25">
        <v>0</v>
      </c>
      <c r="BA25">
        <v>27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6.36</v>
      </c>
      <c r="CY25">
        <f>AB25</f>
        <v>111.99</v>
      </c>
      <c r="CZ25">
        <f>AF25</f>
        <v>111.99</v>
      </c>
      <c r="DA25">
        <f>AJ25</f>
        <v>1</v>
      </c>
      <c r="DB25">
        <f t="shared" si="0"/>
        <v>356.13</v>
      </c>
      <c r="DC25">
        <f t="shared" si="1"/>
        <v>42.93</v>
      </c>
      <c r="GQ25">
        <v>-1</v>
      </c>
      <c r="GR25">
        <v>-1</v>
      </c>
    </row>
    <row r="26" spans="1:200" x14ac:dyDescent="0.2">
      <c r="A26">
        <f>ROW(Source!A30)</f>
        <v>30</v>
      </c>
      <c r="B26">
        <v>34748518</v>
      </c>
      <c r="C26">
        <v>34750830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266</v>
      </c>
      <c r="J26" t="s">
        <v>267</v>
      </c>
      <c r="K26" t="s">
        <v>268</v>
      </c>
      <c r="L26">
        <v>1368</v>
      </c>
      <c r="N26">
        <v>1011</v>
      </c>
      <c r="O26" t="s">
        <v>262</v>
      </c>
      <c r="P26" t="s">
        <v>262</v>
      </c>
      <c r="Q26">
        <v>1</v>
      </c>
      <c r="W26">
        <v>0</v>
      </c>
      <c r="X26">
        <v>1372534845</v>
      </c>
      <c r="Y26">
        <v>0.24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0.24</v>
      </c>
      <c r="AU26" t="s">
        <v>3</v>
      </c>
      <c r="AV26">
        <v>0</v>
      </c>
      <c r="AW26">
        <v>2</v>
      </c>
      <c r="AX26">
        <v>34750834</v>
      </c>
      <c r="AY26">
        <v>1</v>
      </c>
      <c r="AZ26">
        <v>0</v>
      </c>
      <c r="BA26">
        <v>28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0.48</v>
      </c>
      <c r="CY26">
        <f>AB26</f>
        <v>65.709999999999994</v>
      </c>
      <c r="CZ26">
        <f>AF26</f>
        <v>65.709999999999994</v>
      </c>
      <c r="DA26">
        <f>AJ26</f>
        <v>1</v>
      </c>
      <c r="DB26">
        <f t="shared" si="0"/>
        <v>15.77</v>
      </c>
      <c r="DC26">
        <f t="shared" si="1"/>
        <v>2.78</v>
      </c>
      <c r="GQ26">
        <v>-1</v>
      </c>
      <c r="GR26">
        <v>-1</v>
      </c>
    </row>
    <row r="27" spans="1:200" x14ac:dyDescent="0.2">
      <c r="A27">
        <f>ROW(Source!A30)</f>
        <v>30</v>
      </c>
      <c r="B27">
        <v>34748518</v>
      </c>
      <c r="C27">
        <v>34750830</v>
      </c>
      <c r="D27">
        <v>31528446</v>
      </c>
      <c r="E27">
        <v>1</v>
      </c>
      <c r="F27">
        <v>1</v>
      </c>
      <c r="G27">
        <v>1</v>
      </c>
      <c r="H27">
        <v>2</v>
      </c>
      <c r="I27" t="s">
        <v>284</v>
      </c>
      <c r="J27" t="s">
        <v>285</v>
      </c>
      <c r="K27" t="s">
        <v>286</v>
      </c>
      <c r="L27">
        <v>1368</v>
      </c>
      <c r="N27">
        <v>1011</v>
      </c>
      <c r="O27" t="s">
        <v>262</v>
      </c>
      <c r="P27" t="s">
        <v>262</v>
      </c>
      <c r="Q27">
        <v>1</v>
      </c>
      <c r="W27">
        <v>0</v>
      </c>
      <c r="X27">
        <v>-353815937</v>
      </c>
      <c r="Y27">
        <v>1.35</v>
      </c>
      <c r="AA27">
        <v>0</v>
      </c>
      <c r="AB27">
        <v>8.1</v>
      </c>
      <c r="AC27">
        <v>0</v>
      </c>
      <c r="AD27">
        <v>0</v>
      </c>
      <c r="AE27">
        <v>0</v>
      </c>
      <c r="AF27">
        <v>8.1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1.35</v>
      </c>
      <c r="AU27" t="s">
        <v>3</v>
      </c>
      <c r="AV27">
        <v>0</v>
      </c>
      <c r="AW27">
        <v>2</v>
      </c>
      <c r="AX27">
        <v>34750835</v>
      </c>
      <c r="AY27">
        <v>1</v>
      </c>
      <c r="AZ27">
        <v>0</v>
      </c>
      <c r="BA27">
        <v>29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2.7</v>
      </c>
      <c r="CY27">
        <f>AB27</f>
        <v>8.1</v>
      </c>
      <c r="CZ27">
        <f>AF27</f>
        <v>8.1</v>
      </c>
      <c r="DA27">
        <f>AJ27</f>
        <v>1</v>
      </c>
      <c r="DB27">
        <f t="shared" si="0"/>
        <v>10.94</v>
      </c>
      <c r="DC27">
        <f t="shared" si="1"/>
        <v>0</v>
      </c>
      <c r="GQ27">
        <v>-1</v>
      </c>
      <c r="GR27">
        <v>-1</v>
      </c>
    </row>
    <row r="28" spans="1:200" x14ac:dyDescent="0.2">
      <c r="A28">
        <f>ROW(Source!A30)</f>
        <v>30</v>
      </c>
      <c r="B28">
        <v>34748518</v>
      </c>
      <c r="C28">
        <v>34750830</v>
      </c>
      <c r="D28">
        <v>31444704</v>
      </c>
      <c r="E28">
        <v>1</v>
      </c>
      <c r="F28">
        <v>1</v>
      </c>
      <c r="G28">
        <v>1</v>
      </c>
      <c r="H28">
        <v>3</v>
      </c>
      <c r="I28" t="s">
        <v>287</v>
      </c>
      <c r="J28" t="s">
        <v>288</v>
      </c>
      <c r="K28" t="s">
        <v>289</v>
      </c>
      <c r="L28">
        <v>1348</v>
      </c>
      <c r="N28">
        <v>1009</v>
      </c>
      <c r="O28" t="s">
        <v>290</v>
      </c>
      <c r="P28" t="s">
        <v>290</v>
      </c>
      <c r="Q28">
        <v>1000</v>
      </c>
      <c r="W28">
        <v>0</v>
      </c>
      <c r="X28">
        <v>1652104570</v>
      </c>
      <c r="Y28">
        <v>6.0000000000000002E-5</v>
      </c>
      <c r="AA28">
        <v>17500</v>
      </c>
      <c r="AB28">
        <v>0</v>
      </c>
      <c r="AC28">
        <v>0</v>
      </c>
      <c r="AD28">
        <v>0</v>
      </c>
      <c r="AE28">
        <v>17500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6.0000000000000002E-5</v>
      </c>
      <c r="AU28" t="s">
        <v>3</v>
      </c>
      <c r="AV28">
        <v>0</v>
      </c>
      <c r="AW28">
        <v>2</v>
      </c>
      <c r="AX28">
        <v>34750836</v>
      </c>
      <c r="AY28">
        <v>1</v>
      </c>
      <c r="AZ28">
        <v>0</v>
      </c>
      <c r="BA28">
        <v>30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1.2E-4</v>
      </c>
      <c r="CY28">
        <f t="shared" ref="CY28:CY35" si="5">AA28</f>
        <v>17500</v>
      </c>
      <c r="CZ28">
        <f t="shared" ref="CZ28:CZ35" si="6">AE28</f>
        <v>17500</v>
      </c>
      <c r="DA28">
        <f t="shared" ref="DA28:DA35" si="7">AI28</f>
        <v>1</v>
      </c>
      <c r="DB28">
        <f t="shared" si="0"/>
        <v>1.05</v>
      </c>
      <c r="DC28">
        <f t="shared" si="1"/>
        <v>0</v>
      </c>
      <c r="DH28">
        <f>Source!I30*SmtRes!Y28</f>
        <v>1.2E-4</v>
      </c>
      <c r="DI28">
        <f>AA28</f>
        <v>17500</v>
      </c>
      <c r="DJ28">
        <f>EtalonRes!Y30</f>
        <v>17500</v>
      </c>
      <c r="DK28">
        <f>Source!BC30</f>
        <v>1</v>
      </c>
      <c r="GQ28">
        <v>-1</v>
      </c>
      <c r="GR28">
        <v>-1</v>
      </c>
    </row>
    <row r="29" spans="1:200" x14ac:dyDescent="0.2">
      <c r="A29">
        <f>ROW(Source!A30)</f>
        <v>30</v>
      </c>
      <c r="B29">
        <v>34748518</v>
      </c>
      <c r="C29">
        <v>34750830</v>
      </c>
      <c r="D29">
        <v>31447861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1346</v>
      </c>
      <c r="N29">
        <v>1009</v>
      </c>
      <c r="O29" t="s">
        <v>272</v>
      </c>
      <c r="P29" t="s">
        <v>272</v>
      </c>
      <c r="Q29">
        <v>1</v>
      </c>
      <c r="W29">
        <v>0</v>
      </c>
      <c r="X29">
        <v>586013393</v>
      </c>
      <c r="Y29">
        <v>0.3</v>
      </c>
      <c r="AA29">
        <v>10.57</v>
      </c>
      <c r="AB29">
        <v>0</v>
      </c>
      <c r="AC29">
        <v>0</v>
      </c>
      <c r="AD29">
        <v>0</v>
      </c>
      <c r="AE29">
        <v>10.57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0.3</v>
      </c>
      <c r="AU29" t="s">
        <v>3</v>
      </c>
      <c r="AV29">
        <v>0</v>
      </c>
      <c r="AW29">
        <v>2</v>
      </c>
      <c r="AX29">
        <v>34750837</v>
      </c>
      <c r="AY29">
        <v>1</v>
      </c>
      <c r="AZ29">
        <v>0</v>
      </c>
      <c r="BA29">
        <v>31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0.6</v>
      </c>
      <c r="CY29">
        <f t="shared" si="5"/>
        <v>10.57</v>
      </c>
      <c r="CZ29">
        <f t="shared" si="6"/>
        <v>10.57</v>
      </c>
      <c r="DA29">
        <f t="shared" si="7"/>
        <v>1</v>
      </c>
      <c r="DB29">
        <f t="shared" si="0"/>
        <v>3.17</v>
      </c>
      <c r="DC29">
        <f t="shared" si="1"/>
        <v>0</v>
      </c>
      <c r="DH29">
        <f>Source!I30*SmtRes!Y29</f>
        <v>0.6</v>
      </c>
      <c r="DI29">
        <f>AA29</f>
        <v>10.57</v>
      </c>
      <c r="DJ29">
        <f>EtalonRes!Y31</f>
        <v>10.57</v>
      </c>
      <c r="DK29">
        <f>Source!BC30</f>
        <v>1</v>
      </c>
      <c r="GQ29">
        <v>-1</v>
      </c>
      <c r="GR29">
        <v>-1</v>
      </c>
    </row>
    <row r="30" spans="1:200" x14ac:dyDescent="0.2">
      <c r="A30">
        <f>ROW(Source!A30)</f>
        <v>30</v>
      </c>
      <c r="B30">
        <v>34748518</v>
      </c>
      <c r="C30">
        <v>34750830</v>
      </c>
      <c r="D30">
        <v>31449051</v>
      </c>
      <c r="E30">
        <v>1</v>
      </c>
      <c r="F30">
        <v>1</v>
      </c>
      <c r="G30">
        <v>1</v>
      </c>
      <c r="H30">
        <v>3</v>
      </c>
      <c r="I30" t="s">
        <v>269</v>
      </c>
      <c r="J30" t="s">
        <v>270</v>
      </c>
      <c r="K30" t="s">
        <v>271</v>
      </c>
      <c r="L30">
        <v>1346</v>
      </c>
      <c r="N30">
        <v>1009</v>
      </c>
      <c r="O30" t="s">
        <v>272</v>
      </c>
      <c r="P30" t="s">
        <v>272</v>
      </c>
      <c r="Q30">
        <v>1</v>
      </c>
      <c r="W30">
        <v>0</v>
      </c>
      <c r="X30">
        <v>103900845</v>
      </c>
      <c r="Y30">
        <v>11.4</v>
      </c>
      <c r="AA30">
        <v>9.0399999999999991</v>
      </c>
      <c r="AB30">
        <v>0</v>
      </c>
      <c r="AC30">
        <v>0</v>
      </c>
      <c r="AD30">
        <v>0</v>
      </c>
      <c r="AE30">
        <v>9.0399999999999991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11.4</v>
      </c>
      <c r="AU30" t="s">
        <v>3</v>
      </c>
      <c r="AV30">
        <v>0</v>
      </c>
      <c r="AW30">
        <v>2</v>
      </c>
      <c r="AX30">
        <v>34750838</v>
      </c>
      <c r="AY30">
        <v>1</v>
      </c>
      <c r="AZ30">
        <v>0</v>
      </c>
      <c r="BA30">
        <v>32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22.8</v>
      </c>
      <c r="CY30">
        <f t="shared" si="5"/>
        <v>9.0399999999999991</v>
      </c>
      <c r="CZ30">
        <f t="shared" si="6"/>
        <v>9.0399999999999991</v>
      </c>
      <c r="DA30">
        <f t="shared" si="7"/>
        <v>1</v>
      </c>
      <c r="DB30">
        <f t="shared" si="0"/>
        <v>103.06</v>
      </c>
      <c r="DC30">
        <f t="shared" si="1"/>
        <v>0</v>
      </c>
      <c r="DH30">
        <f>Source!I30*SmtRes!Y30</f>
        <v>22.8</v>
      </c>
      <c r="DI30">
        <f>AA30</f>
        <v>9.0399999999999991</v>
      </c>
      <c r="DJ30">
        <f>EtalonRes!Y32</f>
        <v>9.0399999999999991</v>
      </c>
      <c r="DK30">
        <f>Source!BC30</f>
        <v>1</v>
      </c>
      <c r="GQ30">
        <v>-1</v>
      </c>
      <c r="GR30">
        <v>-1</v>
      </c>
    </row>
    <row r="31" spans="1:200" x14ac:dyDescent="0.2">
      <c r="A31">
        <f>ROW(Source!A30)</f>
        <v>30</v>
      </c>
      <c r="B31">
        <v>34748518</v>
      </c>
      <c r="C31">
        <v>34750830</v>
      </c>
      <c r="D31">
        <v>31449788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1346</v>
      </c>
      <c r="N31">
        <v>1009</v>
      </c>
      <c r="O31" t="s">
        <v>272</v>
      </c>
      <c r="P31" t="s">
        <v>272</v>
      </c>
      <c r="Q31">
        <v>1</v>
      </c>
      <c r="W31">
        <v>0</v>
      </c>
      <c r="X31">
        <v>-649125924</v>
      </c>
      <c r="Y31">
        <v>4</v>
      </c>
      <c r="AA31">
        <v>50</v>
      </c>
      <c r="AB31">
        <v>0</v>
      </c>
      <c r="AC31">
        <v>0</v>
      </c>
      <c r="AD31">
        <v>0</v>
      </c>
      <c r="AE31">
        <v>50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</v>
      </c>
      <c r="AU31" t="s">
        <v>3</v>
      </c>
      <c r="AV31">
        <v>0</v>
      </c>
      <c r="AW31">
        <v>2</v>
      </c>
      <c r="AX31">
        <v>34750839</v>
      </c>
      <c r="AY31">
        <v>1</v>
      </c>
      <c r="AZ31">
        <v>0</v>
      </c>
      <c r="BA31">
        <v>33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8</v>
      </c>
      <c r="CY31">
        <f t="shared" si="5"/>
        <v>50</v>
      </c>
      <c r="CZ31">
        <f t="shared" si="6"/>
        <v>50</v>
      </c>
      <c r="DA31">
        <f t="shared" si="7"/>
        <v>1</v>
      </c>
      <c r="DB31">
        <f t="shared" si="0"/>
        <v>200</v>
      </c>
      <c r="DC31">
        <f t="shared" si="1"/>
        <v>0</v>
      </c>
      <c r="DH31">
        <f>Source!I30*SmtRes!Y31</f>
        <v>8</v>
      </c>
      <c r="DI31">
        <f>AA31</f>
        <v>50</v>
      </c>
      <c r="DJ31">
        <f>EtalonRes!Y33</f>
        <v>50</v>
      </c>
      <c r="DK31">
        <f>Source!BC30</f>
        <v>1</v>
      </c>
      <c r="GQ31">
        <v>-1</v>
      </c>
      <c r="GR31">
        <v>-1</v>
      </c>
    </row>
    <row r="32" spans="1:200" x14ac:dyDescent="0.2">
      <c r="A32">
        <f>ROW(Source!A30)</f>
        <v>30</v>
      </c>
      <c r="B32">
        <v>34748518</v>
      </c>
      <c r="C32">
        <v>34750830</v>
      </c>
      <c r="D32">
        <v>31450124</v>
      </c>
      <c r="E32">
        <v>1</v>
      </c>
      <c r="F32">
        <v>1</v>
      </c>
      <c r="G32">
        <v>1</v>
      </c>
      <c r="H32">
        <v>3</v>
      </c>
      <c r="I32" t="s">
        <v>297</v>
      </c>
      <c r="J32" t="s">
        <v>298</v>
      </c>
      <c r="K32" t="s">
        <v>299</v>
      </c>
      <c r="L32">
        <v>1330</v>
      </c>
      <c r="N32">
        <v>1005</v>
      </c>
      <c r="O32" t="s">
        <v>300</v>
      </c>
      <c r="P32" t="s">
        <v>300</v>
      </c>
      <c r="Q32">
        <v>10</v>
      </c>
      <c r="W32">
        <v>0</v>
      </c>
      <c r="X32">
        <v>-1849729336</v>
      </c>
      <c r="Y32">
        <v>3.3000000000000002E-2</v>
      </c>
      <c r="AA32">
        <v>79.099999999999994</v>
      </c>
      <c r="AB32">
        <v>0</v>
      </c>
      <c r="AC32">
        <v>0</v>
      </c>
      <c r="AD32">
        <v>0</v>
      </c>
      <c r="AE32">
        <v>79.099999999999994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3.3000000000000002E-2</v>
      </c>
      <c r="AU32" t="s">
        <v>3</v>
      </c>
      <c r="AV32">
        <v>0</v>
      </c>
      <c r="AW32">
        <v>2</v>
      </c>
      <c r="AX32">
        <v>34750840</v>
      </c>
      <c r="AY32">
        <v>1</v>
      </c>
      <c r="AZ32">
        <v>0</v>
      </c>
      <c r="BA32">
        <v>34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Y32*Source!I30</f>
        <v>6.6000000000000003E-2</v>
      </c>
      <c r="CY32">
        <f t="shared" si="5"/>
        <v>79.099999999999994</v>
      </c>
      <c r="CZ32">
        <f t="shared" si="6"/>
        <v>79.099999999999994</v>
      </c>
      <c r="DA32">
        <f t="shared" si="7"/>
        <v>1</v>
      </c>
      <c r="DB32">
        <f t="shared" si="0"/>
        <v>2.61</v>
      </c>
      <c r="DC32">
        <f t="shared" si="1"/>
        <v>0</v>
      </c>
      <c r="DH32">
        <f>Source!I30*SmtRes!Y32</f>
        <v>6.6000000000000003E-2</v>
      </c>
      <c r="DI32">
        <f>AA32</f>
        <v>79.099999999999994</v>
      </c>
      <c r="DJ32">
        <f>EtalonRes!Y34</f>
        <v>79.099999999999994</v>
      </c>
      <c r="DK32">
        <f>Source!BC30</f>
        <v>1</v>
      </c>
      <c r="GQ32">
        <v>-1</v>
      </c>
      <c r="GR32">
        <v>-1</v>
      </c>
    </row>
    <row r="33" spans="1:200" x14ac:dyDescent="0.2">
      <c r="A33">
        <f>ROW(Source!A30)</f>
        <v>30</v>
      </c>
      <c r="B33">
        <v>34748518</v>
      </c>
      <c r="C33">
        <v>34750830</v>
      </c>
      <c r="D33">
        <v>31470585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1348</v>
      </c>
      <c r="N33">
        <v>1009</v>
      </c>
      <c r="O33" t="s">
        <v>290</v>
      </c>
      <c r="P33" t="s">
        <v>290</v>
      </c>
      <c r="Q33">
        <v>1000</v>
      </c>
      <c r="W33">
        <v>0</v>
      </c>
      <c r="X33">
        <v>-1598896989</v>
      </c>
      <c r="Y33">
        <v>0.01</v>
      </c>
      <c r="AA33">
        <v>5000</v>
      </c>
      <c r="AB33">
        <v>0</v>
      </c>
      <c r="AC33">
        <v>0</v>
      </c>
      <c r="AD33">
        <v>0</v>
      </c>
      <c r="AE33">
        <v>5000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0.01</v>
      </c>
      <c r="AU33" t="s">
        <v>3</v>
      </c>
      <c r="AV33">
        <v>0</v>
      </c>
      <c r="AW33">
        <v>2</v>
      </c>
      <c r="AX33">
        <v>34750841</v>
      </c>
      <c r="AY33">
        <v>1</v>
      </c>
      <c r="AZ33">
        <v>0</v>
      </c>
      <c r="BA33">
        <v>35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0.02</v>
      </c>
      <c r="CY33">
        <f t="shared" si="5"/>
        <v>5000</v>
      </c>
      <c r="CZ33">
        <f t="shared" si="6"/>
        <v>5000</v>
      </c>
      <c r="DA33">
        <f t="shared" si="7"/>
        <v>1</v>
      </c>
      <c r="DB33">
        <f t="shared" ref="DB33:DB64" si="8">ROUND(ROUND(AT33*CZ33,2),2)</f>
        <v>50</v>
      </c>
      <c r="DC33">
        <f t="shared" ref="DC33:DC64" si="9">ROUND(ROUND(AT33*AG33,2),2)</f>
        <v>0</v>
      </c>
      <c r="DH33">
        <f>Source!I30*SmtRes!Y33</f>
        <v>0.02</v>
      </c>
      <c r="DI33">
        <f>AA33</f>
        <v>5000</v>
      </c>
      <c r="DJ33">
        <f>EtalonRes!Y35</f>
        <v>5000</v>
      </c>
      <c r="DK33">
        <f>Source!BC30</f>
        <v>1</v>
      </c>
      <c r="GQ33">
        <v>-1</v>
      </c>
      <c r="GR33">
        <v>-1</v>
      </c>
    </row>
    <row r="34" spans="1:200" x14ac:dyDescent="0.2">
      <c r="A34">
        <f>ROW(Source!A30)</f>
        <v>30</v>
      </c>
      <c r="B34">
        <v>34748518</v>
      </c>
      <c r="C34">
        <v>34750830</v>
      </c>
      <c r="D34">
        <v>31482923</v>
      </c>
      <c r="E34">
        <v>1</v>
      </c>
      <c r="F34">
        <v>1</v>
      </c>
      <c r="G34">
        <v>1</v>
      </c>
      <c r="H34">
        <v>3</v>
      </c>
      <c r="I34" t="s">
        <v>304</v>
      </c>
      <c r="J34" t="s">
        <v>305</v>
      </c>
      <c r="K34" t="s">
        <v>306</v>
      </c>
      <c r="L34">
        <v>1346</v>
      </c>
      <c r="N34">
        <v>1009</v>
      </c>
      <c r="O34" t="s">
        <v>272</v>
      </c>
      <c r="P34" t="s">
        <v>272</v>
      </c>
      <c r="Q34">
        <v>1</v>
      </c>
      <c r="W34">
        <v>0</v>
      </c>
      <c r="X34">
        <v>210558753</v>
      </c>
      <c r="Y34">
        <v>0.33</v>
      </c>
      <c r="AA34">
        <v>28.6</v>
      </c>
      <c r="AB34">
        <v>0</v>
      </c>
      <c r="AC34">
        <v>0</v>
      </c>
      <c r="AD34">
        <v>0</v>
      </c>
      <c r="AE34">
        <v>28.6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0.33</v>
      </c>
      <c r="AU34" t="s">
        <v>3</v>
      </c>
      <c r="AV34">
        <v>0</v>
      </c>
      <c r="AW34">
        <v>2</v>
      </c>
      <c r="AX34">
        <v>34750842</v>
      </c>
      <c r="AY34">
        <v>1</v>
      </c>
      <c r="AZ34">
        <v>0</v>
      </c>
      <c r="BA34">
        <v>36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0.66</v>
      </c>
      <c r="CY34">
        <f t="shared" si="5"/>
        <v>28.6</v>
      </c>
      <c r="CZ34">
        <f t="shared" si="6"/>
        <v>28.6</v>
      </c>
      <c r="DA34">
        <f t="shared" si="7"/>
        <v>1</v>
      </c>
      <c r="DB34">
        <f t="shared" si="8"/>
        <v>9.44</v>
      </c>
      <c r="DC34">
        <f t="shared" si="9"/>
        <v>0</v>
      </c>
      <c r="DH34">
        <f>Source!I30*SmtRes!Y34</f>
        <v>0.66</v>
      </c>
      <c r="DI34">
        <f>AA34</f>
        <v>28.6</v>
      </c>
      <c r="DJ34">
        <f>EtalonRes!Y36</f>
        <v>28.6</v>
      </c>
      <c r="DK34">
        <f>Source!BC30</f>
        <v>1</v>
      </c>
      <c r="GQ34">
        <v>-1</v>
      </c>
      <c r="GR34">
        <v>-1</v>
      </c>
    </row>
    <row r="35" spans="1:200" x14ac:dyDescent="0.2">
      <c r="A35">
        <f>ROW(Source!A30)</f>
        <v>30</v>
      </c>
      <c r="B35">
        <v>34748518</v>
      </c>
      <c r="C35">
        <v>34750830</v>
      </c>
      <c r="D35">
        <v>31443668</v>
      </c>
      <c r="E35">
        <v>17</v>
      </c>
      <c r="F35">
        <v>1</v>
      </c>
      <c r="G35">
        <v>1</v>
      </c>
      <c r="H35">
        <v>3</v>
      </c>
      <c r="I35" t="s">
        <v>277</v>
      </c>
      <c r="J35" t="s">
        <v>3</v>
      </c>
      <c r="K35" t="s">
        <v>278</v>
      </c>
      <c r="L35">
        <v>1374</v>
      </c>
      <c r="N35">
        <v>1013</v>
      </c>
      <c r="O35" t="s">
        <v>279</v>
      </c>
      <c r="P35" t="s">
        <v>279</v>
      </c>
      <c r="Q35">
        <v>1</v>
      </c>
      <c r="W35">
        <v>0</v>
      </c>
      <c r="X35">
        <v>-1731369543</v>
      </c>
      <c r="Y35">
        <v>3.73</v>
      </c>
      <c r="AA35">
        <v>1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3.73</v>
      </c>
      <c r="AU35" t="s">
        <v>3</v>
      </c>
      <c r="AV35">
        <v>0</v>
      </c>
      <c r="AW35">
        <v>2</v>
      </c>
      <c r="AX35">
        <v>34750843</v>
      </c>
      <c r="AY35">
        <v>1</v>
      </c>
      <c r="AZ35">
        <v>0</v>
      </c>
      <c r="BA35">
        <v>37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7.46</v>
      </c>
      <c r="CY35">
        <f t="shared" si="5"/>
        <v>1</v>
      </c>
      <c r="CZ35">
        <f t="shared" si="6"/>
        <v>1</v>
      </c>
      <c r="DA35">
        <f t="shared" si="7"/>
        <v>1</v>
      </c>
      <c r="DB35">
        <f t="shared" si="8"/>
        <v>3.73</v>
      </c>
      <c r="DC35">
        <f t="shared" si="9"/>
        <v>0</v>
      </c>
      <c r="DH35">
        <f>Source!I30*SmtRes!Y35</f>
        <v>7.46</v>
      </c>
      <c r="DI35">
        <f>AA35</f>
        <v>1</v>
      </c>
      <c r="DJ35">
        <f>EtalonRes!Y37</f>
        <v>1</v>
      </c>
      <c r="DK35">
        <f>Source!BC30</f>
        <v>1</v>
      </c>
      <c r="GQ35">
        <v>-1</v>
      </c>
      <c r="GR35">
        <v>-1</v>
      </c>
    </row>
    <row r="36" spans="1:200" x14ac:dyDescent="0.2">
      <c r="A36">
        <f>ROW(Source!A31)</f>
        <v>31</v>
      </c>
      <c r="B36">
        <v>34748540</v>
      </c>
      <c r="C36">
        <v>34750830</v>
      </c>
      <c r="D36">
        <v>31715651</v>
      </c>
      <c r="E36">
        <v>1</v>
      </c>
      <c r="F36">
        <v>1</v>
      </c>
      <c r="G36">
        <v>1</v>
      </c>
      <c r="H36">
        <v>1</v>
      </c>
      <c r="I36" t="s">
        <v>255</v>
      </c>
      <c r="J36" t="s">
        <v>3</v>
      </c>
      <c r="K36" t="s">
        <v>256</v>
      </c>
      <c r="L36">
        <v>1191</v>
      </c>
      <c r="N36">
        <v>1013</v>
      </c>
      <c r="O36" t="s">
        <v>254</v>
      </c>
      <c r="P36" t="s">
        <v>254</v>
      </c>
      <c r="Q36">
        <v>1</v>
      </c>
      <c r="W36">
        <v>0</v>
      </c>
      <c r="X36">
        <v>1069510174</v>
      </c>
      <c r="Y36">
        <v>19.399999999999999</v>
      </c>
      <c r="AA36">
        <v>0</v>
      </c>
      <c r="AB36">
        <v>0</v>
      </c>
      <c r="AC36">
        <v>0</v>
      </c>
      <c r="AD36">
        <v>120.25</v>
      </c>
      <c r="AE36">
        <v>0</v>
      </c>
      <c r="AF36">
        <v>0</v>
      </c>
      <c r="AG36">
        <v>0</v>
      </c>
      <c r="AH36">
        <v>9.6199999999999992</v>
      </c>
      <c r="AI36">
        <v>1</v>
      </c>
      <c r="AJ36">
        <v>1</v>
      </c>
      <c r="AK36">
        <v>1</v>
      </c>
      <c r="AL36">
        <v>12.5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19.399999999999999</v>
      </c>
      <c r="AU36" t="s">
        <v>3</v>
      </c>
      <c r="AV36">
        <v>1</v>
      </c>
      <c r="AW36">
        <v>2</v>
      </c>
      <c r="AX36">
        <v>34750831</v>
      </c>
      <c r="AY36">
        <v>1</v>
      </c>
      <c r="AZ36">
        <v>0</v>
      </c>
      <c r="BA36">
        <v>38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38.799999999999997</v>
      </c>
      <c r="CY36">
        <f>AD36</f>
        <v>120.25</v>
      </c>
      <c r="CZ36">
        <f>AH36</f>
        <v>9.6199999999999992</v>
      </c>
      <c r="DA36">
        <f>AL36</f>
        <v>12.5</v>
      </c>
      <c r="DB36">
        <f t="shared" si="8"/>
        <v>186.63</v>
      </c>
      <c r="DC36">
        <f t="shared" si="9"/>
        <v>0</v>
      </c>
      <c r="GQ36">
        <v>-1</v>
      </c>
      <c r="GR36">
        <v>-1</v>
      </c>
    </row>
    <row r="37" spans="1:200" x14ac:dyDescent="0.2">
      <c r="A37">
        <f>ROW(Source!A31)</f>
        <v>31</v>
      </c>
      <c r="B37">
        <v>34748540</v>
      </c>
      <c r="C37">
        <v>34750830</v>
      </c>
      <c r="D37">
        <v>31709492</v>
      </c>
      <c r="E37">
        <v>1</v>
      </c>
      <c r="F37">
        <v>1</v>
      </c>
      <c r="G37">
        <v>1</v>
      </c>
      <c r="H37">
        <v>1</v>
      </c>
      <c r="I37" t="s">
        <v>257</v>
      </c>
      <c r="J37" t="s">
        <v>3</v>
      </c>
      <c r="K37" t="s">
        <v>258</v>
      </c>
      <c r="L37">
        <v>1191</v>
      </c>
      <c r="N37">
        <v>1013</v>
      </c>
      <c r="O37" t="s">
        <v>254</v>
      </c>
      <c r="P37" t="s">
        <v>254</v>
      </c>
      <c r="Q37">
        <v>1</v>
      </c>
      <c r="W37">
        <v>0</v>
      </c>
      <c r="X37">
        <v>-1417349443</v>
      </c>
      <c r="Y37">
        <v>3.42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12.5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3.42</v>
      </c>
      <c r="AU37" t="s">
        <v>3</v>
      </c>
      <c r="AV37">
        <v>2</v>
      </c>
      <c r="AW37">
        <v>2</v>
      </c>
      <c r="AX37">
        <v>34750832</v>
      </c>
      <c r="AY37">
        <v>1</v>
      </c>
      <c r="AZ37">
        <v>0</v>
      </c>
      <c r="BA37">
        <v>39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Y37*Source!I31</f>
        <v>6.84</v>
      </c>
      <c r="CY37">
        <f>AD37</f>
        <v>0</v>
      </c>
      <c r="CZ37">
        <f>AH37</f>
        <v>0</v>
      </c>
      <c r="DA37">
        <f>AL37</f>
        <v>1</v>
      </c>
      <c r="DB37">
        <f t="shared" si="8"/>
        <v>0</v>
      </c>
      <c r="DC37">
        <f t="shared" si="9"/>
        <v>0</v>
      </c>
      <c r="GQ37">
        <v>-1</v>
      </c>
      <c r="GR37">
        <v>-1</v>
      </c>
    </row>
    <row r="38" spans="1:200" x14ac:dyDescent="0.2">
      <c r="A38">
        <f>ROW(Source!A31)</f>
        <v>31</v>
      </c>
      <c r="B38">
        <v>34748540</v>
      </c>
      <c r="C38">
        <v>34750830</v>
      </c>
      <c r="D38">
        <v>31526753</v>
      </c>
      <c r="E38">
        <v>1</v>
      </c>
      <c r="F38">
        <v>1</v>
      </c>
      <c r="G38">
        <v>1</v>
      </c>
      <c r="H38">
        <v>2</v>
      </c>
      <c r="I38" t="s">
        <v>259</v>
      </c>
      <c r="J38" t="s">
        <v>260</v>
      </c>
      <c r="K38" t="s">
        <v>261</v>
      </c>
      <c r="L38">
        <v>1368</v>
      </c>
      <c r="N38">
        <v>1011</v>
      </c>
      <c r="O38" t="s">
        <v>262</v>
      </c>
      <c r="P38" t="s">
        <v>262</v>
      </c>
      <c r="Q38">
        <v>1</v>
      </c>
      <c r="W38">
        <v>0</v>
      </c>
      <c r="X38">
        <v>-1718674368</v>
      </c>
      <c r="Y38">
        <v>3.18</v>
      </c>
      <c r="AA38">
        <v>0</v>
      </c>
      <c r="AB38">
        <v>1399.88</v>
      </c>
      <c r="AC38">
        <v>13.5</v>
      </c>
      <c r="AD38">
        <v>0</v>
      </c>
      <c r="AE38">
        <v>0</v>
      </c>
      <c r="AF38">
        <v>111.99</v>
      </c>
      <c r="AG38">
        <v>13.5</v>
      </c>
      <c r="AH38">
        <v>0</v>
      </c>
      <c r="AI38">
        <v>1</v>
      </c>
      <c r="AJ38">
        <v>12.5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3.18</v>
      </c>
      <c r="AU38" t="s">
        <v>3</v>
      </c>
      <c r="AV38">
        <v>0</v>
      </c>
      <c r="AW38">
        <v>2</v>
      </c>
      <c r="AX38">
        <v>34750833</v>
      </c>
      <c r="AY38">
        <v>1</v>
      </c>
      <c r="AZ38">
        <v>0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6.36</v>
      </c>
      <c r="CY38">
        <f>AB38</f>
        <v>1399.88</v>
      </c>
      <c r="CZ38">
        <f>AF38</f>
        <v>111.99</v>
      </c>
      <c r="DA38">
        <f>AJ38</f>
        <v>12.5</v>
      </c>
      <c r="DB38">
        <f t="shared" si="8"/>
        <v>356.13</v>
      </c>
      <c r="DC38">
        <f t="shared" si="9"/>
        <v>42.93</v>
      </c>
      <c r="GQ38">
        <v>-1</v>
      </c>
      <c r="GR38">
        <v>-1</v>
      </c>
    </row>
    <row r="39" spans="1:200" x14ac:dyDescent="0.2">
      <c r="A39">
        <f>ROW(Source!A31)</f>
        <v>31</v>
      </c>
      <c r="B39">
        <v>34748540</v>
      </c>
      <c r="C39">
        <v>34750830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266</v>
      </c>
      <c r="J39" t="s">
        <v>267</v>
      </c>
      <c r="K39" t="s">
        <v>268</v>
      </c>
      <c r="L39">
        <v>1368</v>
      </c>
      <c r="N39">
        <v>1011</v>
      </c>
      <c r="O39" t="s">
        <v>262</v>
      </c>
      <c r="P39" t="s">
        <v>262</v>
      </c>
      <c r="Q39">
        <v>1</v>
      </c>
      <c r="W39">
        <v>0</v>
      </c>
      <c r="X39">
        <v>1372534845</v>
      </c>
      <c r="Y39">
        <v>0.24</v>
      </c>
      <c r="AA39">
        <v>0</v>
      </c>
      <c r="AB39">
        <v>821.38</v>
      </c>
      <c r="AC39">
        <v>11.6</v>
      </c>
      <c r="AD39">
        <v>0</v>
      </c>
      <c r="AE39">
        <v>0</v>
      </c>
      <c r="AF39">
        <v>65.709999999999994</v>
      </c>
      <c r="AG39">
        <v>11.6</v>
      </c>
      <c r="AH39">
        <v>0</v>
      </c>
      <c r="AI39">
        <v>1</v>
      </c>
      <c r="AJ39">
        <v>12.5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0.24</v>
      </c>
      <c r="AU39" t="s">
        <v>3</v>
      </c>
      <c r="AV39">
        <v>0</v>
      </c>
      <c r="AW39">
        <v>2</v>
      </c>
      <c r="AX39">
        <v>34750834</v>
      </c>
      <c r="AY39">
        <v>1</v>
      </c>
      <c r="AZ39">
        <v>0</v>
      </c>
      <c r="BA39">
        <v>41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0.48</v>
      </c>
      <c r="CY39">
        <f>AB39</f>
        <v>821.38</v>
      </c>
      <c r="CZ39">
        <f>AF39</f>
        <v>65.709999999999994</v>
      </c>
      <c r="DA39">
        <f>AJ39</f>
        <v>12.5</v>
      </c>
      <c r="DB39">
        <f t="shared" si="8"/>
        <v>15.77</v>
      </c>
      <c r="DC39">
        <f t="shared" si="9"/>
        <v>2.78</v>
      </c>
      <c r="GQ39">
        <v>-1</v>
      </c>
      <c r="GR39">
        <v>-1</v>
      </c>
    </row>
    <row r="40" spans="1:200" x14ac:dyDescent="0.2">
      <c r="A40">
        <f>ROW(Source!A31)</f>
        <v>31</v>
      </c>
      <c r="B40">
        <v>34748540</v>
      </c>
      <c r="C40">
        <v>34750830</v>
      </c>
      <c r="D40">
        <v>31528446</v>
      </c>
      <c r="E40">
        <v>1</v>
      </c>
      <c r="F40">
        <v>1</v>
      </c>
      <c r="G40">
        <v>1</v>
      </c>
      <c r="H40">
        <v>2</v>
      </c>
      <c r="I40" t="s">
        <v>284</v>
      </c>
      <c r="J40" t="s">
        <v>285</v>
      </c>
      <c r="K40" t="s">
        <v>286</v>
      </c>
      <c r="L40">
        <v>1368</v>
      </c>
      <c r="N40">
        <v>1011</v>
      </c>
      <c r="O40" t="s">
        <v>262</v>
      </c>
      <c r="P40" t="s">
        <v>262</v>
      </c>
      <c r="Q40">
        <v>1</v>
      </c>
      <c r="W40">
        <v>0</v>
      </c>
      <c r="X40">
        <v>-353815937</v>
      </c>
      <c r="Y40">
        <v>1.35</v>
      </c>
      <c r="AA40">
        <v>0</v>
      </c>
      <c r="AB40">
        <v>101.25</v>
      </c>
      <c r="AC40">
        <v>0</v>
      </c>
      <c r="AD40">
        <v>0</v>
      </c>
      <c r="AE40">
        <v>0</v>
      </c>
      <c r="AF40">
        <v>8.1</v>
      </c>
      <c r="AG40">
        <v>0</v>
      </c>
      <c r="AH40">
        <v>0</v>
      </c>
      <c r="AI40">
        <v>1</v>
      </c>
      <c r="AJ40">
        <v>12.5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1.35</v>
      </c>
      <c r="AU40" t="s">
        <v>3</v>
      </c>
      <c r="AV40">
        <v>0</v>
      </c>
      <c r="AW40">
        <v>2</v>
      </c>
      <c r="AX40">
        <v>34750835</v>
      </c>
      <c r="AY40">
        <v>1</v>
      </c>
      <c r="AZ40">
        <v>0</v>
      </c>
      <c r="BA40">
        <v>42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2.7</v>
      </c>
      <c r="CY40">
        <f>AB40</f>
        <v>101.25</v>
      </c>
      <c r="CZ40">
        <f>AF40</f>
        <v>8.1</v>
      </c>
      <c r="DA40">
        <f>AJ40</f>
        <v>12.5</v>
      </c>
      <c r="DB40">
        <f t="shared" si="8"/>
        <v>10.94</v>
      </c>
      <c r="DC40">
        <f t="shared" si="9"/>
        <v>0</v>
      </c>
      <c r="GQ40">
        <v>-1</v>
      </c>
      <c r="GR40">
        <v>-1</v>
      </c>
    </row>
    <row r="41" spans="1:200" x14ac:dyDescent="0.2">
      <c r="A41">
        <f>ROW(Source!A31)</f>
        <v>31</v>
      </c>
      <c r="B41">
        <v>34748540</v>
      </c>
      <c r="C41">
        <v>34750830</v>
      </c>
      <c r="D41">
        <v>31444704</v>
      </c>
      <c r="E41">
        <v>1</v>
      </c>
      <c r="F41">
        <v>1</v>
      </c>
      <c r="G41">
        <v>1</v>
      </c>
      <c r="H41">
        <v>3</v>
      </c>
      <c r="I41" t="s">
        <v>287</v>
      </c>
      <c r="J41" t="s">
        <v>288</v>
      </c>
      <c r="K41" t="s">
        <v>289</v>
      </c>
      <c r="L41">
        <v>1348</v>
      </c>
      <c r="N41">
        <v>1009</v>
      </c>
      <c r="O41" t="s">
        <v>290</v>
      </c>
      <c r="P41" t="s">
        <v>290</v>
      </c>
      <c r="Q41">
        <v>1000</v>
      </c>
      <c r="W41">
        <v>0</v>
      </c>
      <c r="X41">
        <v>1652104570</v>
      </c>
      <c r="Y41">
        <v>6.0000000000000002E-5</v>
      </c>
      <c r="AA41">
        <v>218750</v>
      </c>
      <c r="AB41">
        <v>0</v>
      </c>
      <c r="AC41">
        <v>0</v>
      </c>
      <c r="AD41">
        <v>0</v>
      </c>
      <c r="AE41">
        <v>17500</v>
      </c>
      <c r="AF41">
        <v>0</v>
      </c>
      <c r="AG41">
        <v>0</v>
      </c>
      <c r="AH41">
        <v>0</v>
      </c>
      <c r="AI41">
        <v>12.5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6.0000000000000002E-5</v>
      </c>
      <c r="AU41" t="s">
        <v>3</v>
      </c>
      <c r="AV41">
        <v>0</v>
      </c>
      <c r="AW41">
        <v>2</v>
      </c>
      <c r="AX41">
        <v>34750836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1.2E-4</v>
      </c>
      <c r="CY41">
        <f t="shared" ref="CY41:CY48" si="10">AA41</f>
        <v>218750</v>
      </c>
      <c r="CZ41">
        <f t="shared" ref="CZ41:CZ48" si="11">AE41</f>
        <v>17500</v>
      </c>
      <c r="DA41">
        <f t="shared" ref="DA41:DA48" si="12">AI41</f>
        <v>12.5</v>
      </c>
      <c r="DB41">
        <f t="shared" si="8"/>
        <v>1.05</v>
      </c>
      <c r="DC41">
        <f t="shared" si="9"/>
        <v>0</v>
      </c>
      <c r="DH41">
        <f>Source!I31*SmtRes!Y41</f>
        <v>1.2E-4</v>
      </c>
      <c r="DI41">
        <f>AA41</f>
        <v>218750</v>
      </c>
      <c r="DJ41">
        <f>EtalonRes!Y43</f>
        <v>17500</v>
      </c>
      <c r="DK41">
        <f>Source!BC31</f>
        <v>12.5</v>
      </c>
      <c r="GQ41">
        <v>-1</v>
      </c>
      <c r="GR41">
        <v>-1</v>
      </c>
    </row>
    <row r="42" spans="1:200" x14ac:dyDescent="0.2">
      <c r="A42">
        <f>ROW(Source!A31)</f>
        <v>31</v>
      </c>
      <c r="B42">
        <v>34748540</v>
      </c>
      <c r="C42">
        <v>34750830</v>
      </c>
      <c r="D42">
        <v>31447861</v>
      </c>
      <c r="E42">
        <v>1</v>
      </c>
      <c r="F42">
        <v>1</v>
      </c>
      <c r="G42">
        <v>1</v>
      </c>
      <c r="H42">
        <v>3</v>
      </c>
      <c r="I42" t="s">
        <v>291</v>
      </c>
      <c r="J42" t="s">
        <v>292</v>
      </c>
      <c r="K42" t="s">
        <v>293</v>
      </c>
      <c r="L42">
        <v>1346</v>
      </c>
      <c r="N42">
        <v>1009</v>
      </c>
      <c r="O42" t="s">
        <v>272</v>
      </c>
      <c r="P42" t="s">
        <v>272</v>
      </c>
      <c r="Q42">
        <v>1</v>
      </c>
      <c r="W42">
        <v>0</v>
      </c>
      <c r="X42">
        <v>586013393</v>
      </c>
      <c r="Y42">
        <v>0.3</v>
      </c>
      <c r="AA42">
        <v>132.13</v>
      </c>
      <c r="AB42">
        <v>0</v>
      </c>
      <c r="AC42">
        <v>0</v>
      </c>
      <c r="AD42">
        <v>0</v>
      </c>
      <c r="AE42">
        <v>10.57</v>
      </c>
      <c r="AF42">
        <v>0</v>
      </c>
      <c r="AG42">
        <v>0</v>
      </c>
      <c r="AH42">
        <v>0</v>
      </c>
      <c r="AI42">
        <v>12.5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0.3</v>
      </c>
      <c r="AU42" t="s">
        <v>3</v>
      </c>
      <c r="AV42">
        <v>0</v>
      </c>
      <c r="AW42">
        <v>2</v>
      </c>
      <c r="AX42">
        <v>34750837</v>
      </c>
      <c r="AY42">
        <v>1</v>
      </c>
      <c r="AZ42">
        <v>0</v>
      </c>
      <c r="BA42">
        <v>44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0.6</v>
      </c>
      <c r="CY42">
        <f t="shared" si="10"/>
        <v>132.13</v>
      </c>
      <c r="CZ42">
        <f t="shared" si="11"/>
        <v>10.57</v>
      </c>
      <c r="DA42">
        <f t="shared" si="12"/>
        <v>12.5</v>
      </c>
      <c r="DB42">
        <f t="shared" si="8"/>
        <v>3.17</v>
      </c>
      <c r="DC42">
        <f t="shared" si="9"/>
        <v>0</v>
      </c>
      <c r="DH42">
        <f>Source!I31*SmtRes!Y42</f>
        <v>0.6</v>
      </c>
      <c r="DI42">
        <f>AA42</f>
        <v>132.13</v>
      </c>
      <c r="DJ42">
        <f>EtalonRes!Y44</f>
        <v>10.57</v>
      </c>
      <c r="DK42">
        <f>Source!BC31</f>
        <v>12.5</v>
      </c>
      <c r="GQ42">
        <v>-1</v>
      </c>
      <c r="GR42">
        <v>-1</v>
      </c>
    </row>
    <row r="43" spans="1:200" x14ac:dyDescent="0.2">
      <c r="A43">
        <f>ROW(Source!A31)</f>
        <v>31</v>
      </c>
      <c r="B43">
        <v>34748540</v>
      </c>
      <c r="C43">
        <v>34750830</v>
      </c>
      <c r="D43">
        <v>31449051</v>
      </c>
      <c r="E43">
        <v>1</v>
      </c>
      <c r="F43">
        <v>1</v>
      </c>
      <c r="G43">
        <v>1</v>
      </c>
      <c r="H43">
        <v>3</v>
      </c>
      <c r="I43" t="s">
        <v>269</v>
      </c>
      <c r="J43" t="s">
        <v>270</v>
      </c>
      <c r="K43" t="s">
        <v>271</v>
      </c>
      <c r="L43">
        <v>1346</v>
      </c>
      <c r="N43">
        <v>1009</v>
      </c>
      <c r="O43" t="s">
        <v>272</v>
      </c>
      <c r="P43" t="s">
        <v>272</v>
      </c>
      <c r="Q43">
        <v>1</v>
      </c>
      <c r="W43">
        <v>0</v>
      </c>
      <c r="X43">
        <v>103900845</v>
      </c>
      <c r="Y43">
        <v>11.4</v>
      </c>
      <c r="AA43">
        <v>113</v>
      </c>
      <c r="AB43">
        <v>0</v>
      </c>
      <c r="AC43">
        <v>0</v>
      </c>
      <c r="AD43">
        <v>0</v>
      </c>
      <c r="AE43">
        <v>9.0399999999999991</v>
      </c>
      <c r="AF43">
        <v>0</v>
      </c>
      <c r="AG43">
        <v>0</v>
      </c>
      <c r="AH43">
        <v>0</v>
      </c>
      <c r="AI43">
        <v>12.5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11.4</v>
      </c>
      <c r="AU43" t="s">
        <v>3</v>
      </c>
      <c r="AV43">
        <v>0</v>
      </c>
      <c r="AW43">
        <v>2</v>
      </c>
      <c r="AX43">
        <v>34750838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Y43*Source!I31</f>
        <v>22.8</v>
      </c>
      <c r="CY43">
        <f t="shared" si="10"/>
        <v>113</v>
      </c>
      <c r="CZ43">
        <f t="shared" si="11"/>
        <v>9.0399999999999991</v>
      </c>
      <c r="DA43">
        <f t="shared" si="12"/>
        <v>12.5</v>
      </c>
      <c r="DB43">
        <f t="shared" si="8"/>
        <v>103.06</v>
      </c>
      <c r="DC43">
        <f t="shared" si="9"/>
        <v>0</v>
      </c>
      <c r="DH43">
        <f>Source!I31*SmtRes!Y43</f>
        <v>22.8</v>
      </c>
      <c r="DI43">
        <f>AA43</f>
        <v>113</v>
      </c>
      <c r="DJ43">
        <f>EtalonRes!Y45</f>
        <v>9.0399999999999991</v>
      </c>
      <c r="DK43">
        <f>Source!BC31</f>
        <v>12.5</v>
      </c>
      <c r="GQ43">
        <v>-1</v>
      </c>
      <c r="GR43">
        <v>-1</v>
      </c>
    </row>
    <row r="44" spans="1:200" x14ac:dyDescent="0.2">
      <c r="A44">
        <f>ROW(Source!A31)</f>
        <v>31</v>
      </c>
      <c r="B44">
        <v>34748540</v>
      </c>
      <c r="C44">
        <v>34750830</v>
      </c>
      <c r="D44">
        <v>31449788</v>
      </c>
      <c r="E44">
        <v>1</v>
      </c>
      <c r="F44">
        <v>1</v>
      </c>
      <c r="G44">
        <v>1</v>
      </c>
      <c r="H44">
        <v>3</v>
      </c>
      <c r="I44" t="s">
        <v>294</v>
      </c>
      <c r="J44" t="s">
        <v>295</v>
      </c>
      <c r="K44" t="s">
        <v>296</v>
      </c>
      <c r="L44">
        <v>1346</v>
      </c>
      <c r="N44">
        <v>1009</v>
      </c>
      <c r="O44" t="s">
        <v>272</v>
      </c>
      <c r="P44" t="s">
        <v>272</v>
      </c>
      <c r="Q44">
        <v>1</v>
      </c>
      <c r="W44">
        <v>0</v>
      </c>
      <c r="X44">
        <v>-649125924</v>
      </c>
      <c r="Y44">
        <v>4</v>
      </c>
      <c r="AA44">
        <v>625</v>
      </c>
      <c r="AB44">
        <v>0</v>
      </c>
      <c r="AC44">
        <v>0</v>
      </c>
      <c r="AD44">
        <v>0</v>
      </c>
      <c r="AE44">
        <v>50</v>
      </c>
      <c r="AF44">
        <v>0</v>
      </c>
      <c r="AG44">
        <v>0</v>
      </c>
      <c r="AH44">
        <v>0</v>
      </c>
      <c r="AI44">
        <v>12.5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4</v>
      </c>
      <c r="AU44" t="s">
        <v>3</v>
      </c>
      <c r="AV44">
        <v>0</v>
      </c>
      <c r="AW44">
        <v>2</v>
      </c>
      <c r="AX44">
        <v>34750839</v>
      </c>
      <c r="AY44">
        <v>1</v>
      </c>
      <c r="AZ44">
        <v>0</v>
      </c>
      <c r="BA44">
        <v>46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Y44*Source!I31</f>
        <v>8</v>
      </c>
      <c r="CY44">
        <f t="shared" si="10"/>
        <v>625</v>
      </c>
      <c r="CZ44">
        <f t="shared" si="11"/>
        <v>50</v>
      </c>
      <c r="DA44">
        <f t="shared" si="12"/>
        <v>12.5</v>
      </c>
      <c r="DB44">
        <f t="shared" si="8"/>
        <v>200</v>
      </c>
      <c r="DC44">
        <f t="shared" si="9"/>
        <v>0</v>
      </c>
      <c r="DH44">
        <f>Source!I31*SmtRes!Y44</f>
        <v>8</v>
      </c>
      <c r="DI44">
        <f>AA44</f>
        <v>625</v>
      </c>
      <c r="DJ44">
        <f>EtalonRes!Y46</f>
        <v>50</v>
      </c>
      <c r="DK44">
        <f>Source!BC31</f>
        <v>12.5</v>
      </c>
      <c r="GQ44">
        <v>-1</v>
      </c>
      <c r="GR44">
        <v>-1</v>
      </c>
    </row>
    <row r="45" spans="1:200" x14ac:dyDescent="0.2">
      <c r="A45">
        <f>ROW(Source!A31)</f>
        <v>31</v>
      </c>
      <c r="B45">
        <v>34748540</v>
      </c>
      <c r="C45">
        <v>34750830</v>
      </c>
      <c r="D45">
        <v>31450124</v>
      </c>
      <c r="E45">
        <v>1</v>
      </c>
      <c r="F45">
        <v>1</v>
      </c>
      <c r="G45">
        <v>1</v>
      </c>
      <c r="H45">
        <v>3</v>
      </c>
      <c r="I45" t="s">
        <v>297</v>
      </c>
      <c r="J45" t="s">
        <v>298</v>
      </c>
      <c r="K45" t="s">
        <v>299</v>
      </c>
      <c r="L45">
        <v>1330</v>
      </c>
      <c r="N45">
        <v>1005</v>
      </c>
      <c r="O45" t="s">
        <v>300</v>
      </c>
      <c r="P45" t="s">
        <v>300</v>
      </c>
      <c r="Q45">
        <v>10</v>
      </c>
      <c r="W45">
        <v>0</v>
      </c>
      <c r="X45">
        <v>-1849729336</v>
      </c>
      <c r="Y45">
        <v>3.3000000000000002E-2</v>
      </c>
      <c r="AA45">
        <v>988.75</v>
      </c>
      <c r="AB45">
        <v>0</v>
      </c>
      <c r="AC45">
        <v>0</v>
      </c>
      <c r="AD45">
        <v>0</v>
      </c>
      <c r="AE45">
        <v>79.099999999999994</v>
      </c>
      <c r="AF45">
        <v>0</v>
      </c>
      <c r="AG45">
        <v>0</v>
      </c>
      <c r="AH45">
        <v>0</v>
      </c>
      <c r="AI45">
        <v>12.5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3.3000000000000002E-2</v>
      </c>
      <c r="AU45" t="s">
        <v>3</v>
      </c>
      <c r="AV45">
        <v>0</v>
      </c>
      <c r="AW45">
        <v>2</v>
      </c>
      <c r="AX45">
        <v>34750840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Y45*Source!I31</f>
        <v>6.6000000000000003E-2</v>
      </c>
      <c r="CY45">
        <f t="shared" si="10"/>
        <v>988.75</v>
      </c>
      <c r="CZ45">
        <f t="shared" si="11"/>
        <v>79.099999999999994</v>
      </c>
      <c r="DA45">
        <f t="shared" si="12"/>
        <v>12.5</v>
      </c>
      <c r="DB45">
        <f t="shared" si="8"/>
        <v>2.61</v>
      </c>
      <c r="DC45">
        <f t="shared" si="9"/>
        <v>0</v>
      </c>
      <c r="DH45">
        <f>Source!I31*SmtRes!Y45</f>
        <v>6.6000000000000003E-2</v>
      </c>
      <c r="DI45">
        <f>AA45</f>
        <v>988.75</v>
      </c>
      <c r="DJ45">
        <f>EtalonRes!Y47</f>
        <v>79.099999999999994</v>
      </c>
      <c r="DK45">
        <f>Source!BC31</f>
        <v>12.5</v>
      </c>
      <c r="GQ45">
        <v>-1</v>
      </c>
      <c r="GR45">
        <v>-1</v>
      </c>
    </row>
    <row r="46" spans="1:200" x14ac:dyDescent="0.2">
      <c r="A46">
        <f>ROW(Source!A31)</f>
        <v>31</v>
      </c>
      <c r="B46">
        <v>34748540</v>
      </c>
      <c r="C46">
        <v>34750830</v>
      </c>
      <c r="D46">
        <v>31470585</v>
      </c>
      <c r="E46">
        <v>1</v>
      </c>
      <c r="F46">
        <v>1</v>
      </c>
      <c r="G46">
        <v>1</v>
      </c>
      <c r="H46">
        <v>3</v>
      </c>
      <c r="I46" t="s">
        <v>301</v>
      </c>
      <c r="J46" t="s">
        <v>302</v>
      </c>
      <c r="K46" t="s">
        <v>303</v>
      </c>
      <c r="L46">
        <v>1348</v>
      </c>
      <c r="N46">
        <v>1009</v>
      </c>
      <c r="O46" t="s">
        <v>290</v>
      </c>
      <c r="P46" t="s">
        <v>290</v>
      </c>
      <c r="Q46">
        <v>1000</v>
      </c>
      <c r="W46">
        <v>0</v>
      </c>
      <c r="X46">
        <v>-1598896989</v>
      </c>
      <c r="Y46">
        <v>0.01</v>
      </c>
      <c r="AA46">
        <v>62500</v>
      </c>
      <c r="AB46">
        <v>0</v>
      </c>
      <c r="AC46">
        <v>0</v>
      </c>
      <c r="AD46">
        <v>0</v>
      </c>
      <c r="AE46">
        <v>5000</v>
      </c>
      <c r="AF46">
        <v>0</v>
      </c>
      <c r="AG46">
        <v>0</v>
      </c>
      <c r="AH46">
        <v>0</v>
      </c>
      <c r="AI46">
        <v>12.5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34750841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Y46*Source!I31</f>
        <v>0.02</v>
      </c>
      <c r="CY46">
        <f t="shared" si="10"/>
        <v>62500</v>
      </c>
      <c r="CZ46">
        <f t="shared" si="11"/>
        <v>5000</v>
      </c>
      <c r="DA46">
        <f t="shared" si="12"/>
        <v>12.5</v>
      </c>
      <c r="DB46">
        <f t="shared" si="8"/>
        <v>50</v>
      </c>
      <c r="DC46">
        <f t="shared" si="9"/>
        <v>0</v>
      </c>
      <c r="DH46">
        <f>Source!I31*SmtRes!Y46</f>
        <v>0.02</v>
      </c>
      <c r="DI46">
        <f>AA46</f>
        <v>62500</v>
      </c>
      <c r="DJ46">
        <f>EtalonRes!Y48</f>
        <v>5000</v>
      </c>
      <c r="DK46">
        <f>Source!BC31</f>
        <v>12.5</v>
      </c>
      <c r="GQ46">
        <v>-1</v>
      </c>
      <c r="GR46">
        <v>-1</v>
      </c>
    </row>
    <row r="47" spans="1:200" x14ac:dyDescent="0.2">
      <c r="A47">
        <f>ROW(Source!A31)</f>
        <v>31</v>
      </c>
      <c r="B47">
        <v>34748540</v>
      </c>
      <c r="C47">
        <v>34750830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304</v>
      </c>
      <c r="J47" t="s">
        <v>305</v>
      </c>
      <c r="K47" t="s">
        <v>306</v>
      </c>
      <c r="L47">
        <v>1346</v>
      </c>
      <c r="N47">
        <v>1009</v>
      </c>
      <c r="O47" t="s">
        <v>272</v>
      </c>
      <c r="P47" t="s">
        <v>272</v>
      </c>
      <c r="Q47">
        <v>1</v>
      </c>
      <c r="W47">
        <v>0</v>
      </c>
      <c r="X47">
        <v>210558753</v>
      </c>
      <c r="Y47">
        <v>0.33</v>
      </c>
      <c r="AA47">
        <v>357.5</v>
      </c>
      <c r="AB47">
        <v>0</v>
      </c>
      <c r="AC47">
        <v>0</v>
      </c>
      <c r="AD47">
        <v>0</v>
      </c>
      <c r="AE47">
        <v>28.6</v>
      </c>
      <c r="AF47">
        <v>0</v>
      </c>
      <c r="AG47">
        <v>0</v>
      </c>
      <c r="AH47">
        <v>0</v>
      </c>
      <c r="AI47">
        <v>12.5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0.33</v>
      </c>
      <c r="AU47" t="s">
        <v>3</v>
      </c>
      <c r="AV47">
        <v>0</v>
      </c>
      <c r="AW47">
        <v>2</v>
      </c>
      <c r="AX47">
        <v>34750842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Y47*Source!I31</f>
        <v>0.66</v>
      </c>
      <c r="CY47">
        <f t="shared" si="10"/>
        <v>357.5</v>
      </c>
      <c r="CZ47">
        <f t="shared" si="11"/>
        <v>28.6</v>
      </c>
      <c r="DA47">
        <f t="shared" si="12"/>
        <v>12.5</v>
      </c>
      <c r="DB47">
        <f t="shared" si="8"/>
        <v>9.44</v>
      </c>
      <c r="DC47">
        <f t="shared" si="9"/>
        <v>0</v>
      </c>
      <c r="DH47">
        <f>Source!I31*SmtRes!Y47</f>
        <v>0.66</v>
      </c>
      <c r="DI47">
        <f>AA47</f>
        <v>357.5</v>
      </c>
      <c r="DJ47">
        <f>EtalonRes!Y49</f>
        <v>28.6</v>
      </c>
      <c r="DK47">
        <f>Source!BC31</f>
        <v>12.5</v>
      </c>
      <c r="GQ47">
        <v>-1</v>
      </c>
      <c r="GR47">
        <v>-1</v>
      </c>
    </row>
    <row r="48" spans="1:200" x14ac:dyDescent="0.2">
      <c r="A48">
        <f>ROW(Source!A31)</f>
        <v>31</v>
      </c>
      <c r="B48">
        <v>34748540</v>
      </c>
      <c r="C48">
        <v>34750830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277</v>
      </c>
      <c r="J48" t="s">
        <v>3</v>
      </c>
      <c r="K48" t="s">
        <v>278</v>
      </c>
      <c r="L48">
        <v>1374</v>
      </c>
      <c r="N48">
        <v>1013</v>
      </c>
      <c r="O48" t="s">
        <v>279</v>
      </c>
      <c r="P48" t="s">
        <v>279</v>
      </c>
      <c r="Q48">
        <v>1</v>
      </c>
      <c r="W48">
        <v>0</v>
      </c>
      <c r="X48">
        <v>-1731369543</v>
      </c>
      <c r="Y48">
        <v>3.73</v>
      </c>
      <c r="AA48">
        <v>12.5</v>
      </c>
      <c r="AB48">
        <v>0</v>
      </c>
      <c r="AC48">
        <v>0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12.5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3.73</v>
      </c>
      <c r="AU48" t="s">
        <v>3</v>
      </c>
      <c r="AV48">
        <v>0</v>
      </c>
      <c r="AW48">
        <v>2</v>
      </c>
      <c r="AX48">
        <v>34750843</v>
      </c>
      <c r="AY48">
        <v>1</v>
      </c>
      <c r="AZ48">
        <v>0</v>
      </c>
      <c r="BA48">
        <v>50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Y48*Source!I31</f>
        <v>7.46</v>
      </c>
      <c r="CY48">
        <f t="shared" si="10"/>
        <v>12.5</v>
      </c>
      <c r="CZ48">
        <f t="shared" si="11"/>
        <v>1</v>
      </c>
      <c r="DA48">
        <f t="shared" si="12"/>
        <v>12.5</v>
      </c>
      <c r="DB48">
        <f t="shared" si="8"/>
        <v>3.73</v>
      </c>
      <c r="DC48">
        <f t="shared" si="9"/>
        <v>0</v>
      </c>
      <c r="DH48">
        <f>Source!I31*SmtRes!Y48</f>
        <v>7.46</v>
      </c>
      <c r="DI48">
        <f>AA48</f>
        <v>12.5</v>
      </c>
      <c r="DJ48">
        <f>EtalonRes!Y50</f>
        <v>1</v>
      </c>
      <c r="DK48">
        <f>Source!BC31</f>
        <v>12.5</v>
      </c>
      <c r="GQ48">
        <v>-1</v>
      </c>
      <c r="GR48">
        <v>-1</v>
      </c>
    </row>
    <row r="49" spans="1:200" x14ac:dyDescent="0.2">
      <c r="A49">
        <f>ROW(Source!A32)</f>
        <v>32</v>
      </c>
      <c r="B49">
        <v>34748518</v>
      </c>
      <c r="C49">
        <v>34750454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280</v>
      </c>
      <c r="J49" t="s">
        <v>3</v>
      </c>
      <c r="K49" t="s">
        <v>281</v>
      </c>
      <c r="L49">
        <v>1191</v>
      </c>
      <c r="N49">
        <v>1013</v>
      </c>
      <c r="O49" t="s">
        <v>254</v>
      </c>
      <c r="P49" t="s">
        <v>254</v>
      </c>
      <c r="Q49">
        <v>1</v>
      </c>
      <c r="W49">
        <v>0</v>
      </c>
      <c r="X49">
        <v>-1309109184</v>
      </c>
      <c r="Y49">
        <v>5.76</v>
      </c>
      <c r="AA49">
        <v>0</v>
      </c>
      <c r="AB49">
        <v>0</v>
      </c>
      <c r="AC49">
        <v>0</v>
      </c>
      <c r="AD49">
        <v>9.17</v>
      </c>
      <c r="AE49">
        <v>0</v>
      </c>
      <c r="AF49">
        <v>0</v>
      </c>
      <c r="AG49">
        <v>0</v>
      </c>
      <c r="AH49">
        <v>9.17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5.76</v>
      </c>
      <c r="AU49" t="s">
        <v>3</v>
      </c>
      <c r="AV49">
        <v>1</v>
      </c>
      <c r="AW49">
        <v>2</v>
      </c>
      <c r="AX49">
        <v>34750455</v>
      </c>
      <c r="AY49">
        <v>1</v>
      </c>
      <c r="AZ49">
        <v>0</v>
      </c>
      <c r="BA49">
        <v>51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Y49*Source!I32</f>
        <v>11.52</v>
      </c>
      <c r="CY49">
        <f t="shared" ref="CY49:CY54" si="13">AD49</f>
        <v>9.17</v>
      </c>
      <c r="CZ49">
        <f t="shared" ref="CZ49:CZ54" si="14">AH49</f>
        <v>9.17</v>
      </c>
      <c r="DA49">
        <f t="shared" ref="DA49:DA54" si="15">AL49</f>
        <v>1</v>
      </c>
      <c r="DB49">
        <f t="shared" si="8"/>
        <v>52.82</v>
      </c>
      <c r="DC49">
        <f t="shared" si="9"/>
        <v>0</v>
      </c>
      <c r="GQ49">
        <v>-1</v>
      </c>
      <c r="GR49">
        <v>-1</v>
      </c>
    </row>
    <row r="50" spans="1:200" x14ac:dyDescent="0.2">
      <c r="A50">
        <f>ROW(Source!A32)</f>
        <v>32</v>
      </c>
      <c r="B50">
        <v>34748518</v>
      </c>
      <c r="C50">
        <v>34750454</v>
      </c>
      <c r="D50">
        <v>32163380</v>
      </c>
      <c r="E50">
        <v>1</v>
      </c>
      <c r="F50">
        <v>1</v>
      </c>
      <c r="G50">
        <v>1</v>
      </c>
      <c r="H50">
        <v>1</v>
      </c>
      <c r="I50" t="s">
        <v>282</v>
      </c>
      <c r="J50" t="s">
        <v>3</v>
      </c>
      <c r="K50" t="s">
        <v>283</v>
      </c>
      <c r="L50">
        <v>1191</v>
      </c>
      <c r="N50">
        <v>1013</v>
      </c>
      <c r="O50" t="s">
        <v>254</v>
      </c>
      <c r="P50" t="s">
        <v>254</v>
      </c>
      <c r="Q50">
        <v>1</v>
      </c>
      <c r="W50">
        <v>0</v>
      </c>
      <c r="X50">
        <v>1818203118</v>
      </c>
      <c r="Y50">
        <v>8.64</v>
      </c>
      <c r="AA50">
        <v>0</v>
      </c>
      <c r="AB50">
        <v>0</v>
      </c>
      <c r="AC50">
        <v>0</v>
      </c>
      <c r="AD50">
        <v>14.09</v>
      </c>
      <c r="AE50">
        <v>0</v>
      </c>
      <c r="AF50">
        <v>0</v>
      </c>
      <c r="AG50">
        <v>0</v>
      </c>
      <c r="AH50">
        <v>14.09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8.64</v>
      </c>
      <c r="AU50" t="s">
        <v>3</v>
      </c>
      <c r="AV50">
        <v>1</v>
      </c>
      <c r="AW50">
        <v>2</v>
      </c>
      <c r="AX50">
        <v>34750456</v>
      </c>
      <c r="AY50">
        <v>1</v>
      </c>
      <c r="AZ50">
        <v>0</v>
      </c>
      <c r="BA50">
        <v>52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Y50*Source!I32</f>
        <v>17.28</v>
      </c>
      <c r="CY50">
        <f t="shared" si="13"/>
        <v>14.09</v>
      </c>
      <c r="CZ50">
        <f t="shared" si="14"/>
        <v>14.09</v>
      </c>
      <c r="DA50">
        <f t="shared" si="15"/>
        <v>1</v>
      </c>
      <c r="DB50">
        <f t="shared" si="8"/>
        <v>121.74</v>
      </c>
      <c r="DC50">
        <f t="shared" si="9"/>
        <v>0</v>
      </c>
      <c r="GQ50">
        <v>-1</v>
      </c>
      <c r="GR50">
        <v>-1</v>
      </c>
    </row>
    <row r="51" spans="1:200" x14ac:dyDescent="0.2">
      <c r="A51">
        <f>ROW(Source!A33)</f>
        <v>33</v>
      </c>
      <c r="B51">
        <v>34748540</v>
      </c>
      <c r="C51">
        <v>34750454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280</v>
      </c>
      <c r="J51" t="s">
        <v>3</v>
      </c>
      <c r="K51" t="s">
        <v>281</v>
      </c>
      <c r="L51">
        <v>1191</v>
      </c>
      <c r="N51">
        <v>1013</v>
      </c>
      <c r="O51" t="s">
        <v>254</v>
      </c>
      <c r="P51" t="s">
        <v>254</v>
      </c>
      <c r="Q51">
        <v>1</v>
      </c>
      <c r="W51">
        <v>0</v>
      </c>
      <c r="X51">
        <v>-1309109184</v>
      </c>
      <c r="Y51">
        <v>5.76</v>
      </c>
      <c r="AA51">
        <v>0</v>
      </c>
      <c r="AB51">
        <v>0</v>
      </c>
      <c r="AC51">
        <v>0</v>
      </c>
      <c r="AD51">
        <v>114.63</v>
      </c>
      <c r="AE51">
        <v>0</v>
      </c>
      <c r="AF51">
        <v>0</v>
      </c>
      <c r="AG51">
        <v>0</v>
      </c>
      <c r="AH51">
        <v>9.17</v>
      </c>
      <c r="AI51">
        <v>1</v>
      </c>
      <c r="AJ51">
        <v>1</v>
      </c>
      <c r="AK51">
        <v>1</v>
      </c>
      <c r="AL51">
        <v>12.5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5.76</v>
      </c>
      <c r="AU51" t="s">
        <v>3</v>
      </c>
      <c r="AV51">
        <v>1</v>
      </c>
      <c r="AW51">
        <v>2</v>
      </c>
      <c r="AX51">
        <v>34750455</v>
      </c>
      <c r="AY51">
        <v>1</v>
      </c>
      <c r="AZ51">
        <v>0</v>
      </c>
      <c r="BA51">
        <v>53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Y51*Source!I33</f>
        <v>11.52</v>
      </c>
      <c r="CY51">
        <f t="shared" si="13"/>
        <v>114.63</v>
      </c>
      <c r="CZ51">
        <f t="shared" si="14"/>
        <v>9.17</v>
      </c>
      <c r="DA51">
        <f t="shared" si="15"/>
        <v>12.5</v>
      </c>
      <c r="DB51">
        <f t="shared" si="8"/>
        <v>52.82</v>
      </c>
      <c r="DC51">
        <f t="shared" si="9"/>
        <v>0</v>
      </c>
      <c r="GQ51">
        <v>-1</v>
      </c>
      <c r="GR51">
        <v>-1</v>
      </c>
    </row>
    <row r="52" spans="1:200" x14ac:dyDescent="0.2">
      <c r="A52">
        <f>ROW(Source!A33)</f>
        <v>33</v>
      </c>
      <c r="B52">
        <v>34748540</v>
      </c>
      <c r="C52">
        <v>34750454</v>
      </c>
      <c r="D52">
        <v>32163380</v>
      </c>
      <c r="E52">
        <v>1</v>
      </c>
      <c r="F52">
        <v>1</v>
      </c>
      <c r="G52">
        <v>1</v>
      </c>
      <c r="H52">
        <v>1</v>
      </c>
      <c r="I52" t="s">
        <v>282</v>
      </c>
      <c r="J52" t="s">
        <v>3</v>
      </c>
      <c r="K52" t="s">
        <v>283</v>
      </c>
      <c r="L52">
        <v>1191</v>
      </c>
      <c r="N52">
        <v>1013</v>
      </c>
      <c r="O52" t="s">
        <v>254</v>
      </c>
      <c r="P52" t="s">
        <v>254</v>
      </c>
      <c r="Q52">
        <v>1</v>
      </c>
      <c r="W52">
        <v>0</v>
      </c>
      <c r="X52">
        <v>1818203118</v>
      </c>
      <c r="Y52">
        <v>8.64</v>
      </c>
      <c r="AA52">
        <v>0</v>
      </c>
      <c r="AB52">
        <v>0</v>
      </c>
      <c r="AC52">
        <v>0</v>
      </c>
      <c r="AD52">
        <v>176.13</v>
      </c>
      <c r="AE52">
        <v>0</v>
      </c>
      <c r="AF52">
        <v>0</v>
      </c>
      <c r="AG52">
        <v>0</v>
      </c>
      <c r="AH52">
        <v>14.09</v>
      </c>
      <c r="AI52">
        <v>1</v>
      </c>
      <c r="AJ52">
        <v>1</v>
      </c>
      <c r="AK52">
        <v>1</v>
      </c>
      <c r="AL52">
        <v>12.5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8.64</v>
      </c>
      <c r="AU52" t="s">
        <v>3</v>
      </c>
      <c r="AV52">
        <v>1</v>
      </c>
      <c r="AW52">
        <v>2</v>
      </c>
      <c r="AX52">
        <v>34750456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Y52*Source!I33</f>
        <v>17.28</v>
      </c>
      <c r="CY52">
        <f t="shared" si="13"/>
        <v>176.13</v>
      </c>
      <c r="CZ52">
        <f t="shared" si="14"/>
        <v>14.09</v>
      </c>
      <c r="DA52">
        <f t="shared" si="15"/>
        <v>12.5</v>
      </c>
      <c r="DB52">
        <f t="shared" si="8"/>
        <v>121.74</v>
      </c>
      <c r="DC52">
        <f t="shared" si="9"/>
        <v>0</v>
      </c>
      <c r="GQ52">
        <v>-1</v>
      </c>
      <c r="GR52">
        <v>-1</v>
      </c>
    </row>
    <row r="53" spans="1:200" x14ac:dyDescent="0.2">
      <c r="A53">
        <f>ROW(Source!A34)</f>
        <v>34</v>
      </c>
      <c r="B53">
        <v>34748518</v>
      </c>
      <c r="C53">
        <v>34750657</v>
      </c>
      <c r="D53">
        <v>31725395</v>
      </c>
      <c r="E53">
        <v>1</v>
      </c>
      <c r="F53">
        <v>1</v>
      </c>
      <c r="G53">
        <v>1</v>
      </c>
      <c r="H53">
        <v>1</v>
      </c>
      <c r="I53" t="s">
        <v>307</v>
      </c>
      <c r="J53" t="s">
        <v>3</v>
      </c>
      <c r="K53" t="s">
        <v>308</v>
      </c>
      <c r="L53">
        <v>1191</v>
      </c>
      <c r="N53">
        <v>1013</v>
      </c>
      <c r="O53" t="s">
        <v>254</v>
      </c>
      <c r="P53" t="s">
        <v>254</v>
      </c>
      <c r="Q53">
        <v>1</v>
      </c>
      <c r="W53">
        <v>0</v>
      </c>
      <c r="X53">
        <v>912892513</v>
      </c>
      <c r="Y53">
        <v>0.7</v>
      </c>
      <c r="AA53">
        <v>0</v>
      </c>
      <c r="AB53">
        <v>0</v>
      </c>
      <c r="AC53">
        <v>0</v>
      </c>
      <c r="AD53">
        <v>9.92</v>
      </c>
      <c r="AE53">
        <v>0</v>
      </c>
      <c r="AF53">
        <v>0</v>
      </c>
      <c r="AG53">
        <v>0</v>
      </c>
      <c r="AH53">
        <v>9.92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0.7</v>
      </c>
      <c r="AU53" t="s">
        <v>3</v>
      </c>
      <c r="AV53">
        <v>1</v>
      </c>
      <c r="AW53">
        <v>2</v>
      </c>
      <c r="AX53">
        <v>34750658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Y53*Source!I34</f>
        <v>1.4</v>
      </c>
      <c r="CY53">
        <f t="shared" si="13"/>
        <v>9.92</v>
      </c>
      <c r="CZ53">
        <f t="shared" si="14"/>
        <v>9.92</v>
      </c>
      <c r="DA53">
        <f t="shared" si="15"/>
        <v>1</v>
      </c>
      <c r="DB53">
        <f t="shared" si="8"/>
        <v>6.94</v>
      </c>
      <c r="DC53">
        <f t="shared" si="9"/>
        <v>0</v>
      </c>
      <c r="GQ53">
        <v>-1</v>
      </c>
      <c r="GR53">
        <v>-1</v>
      </c>
    </row>
    <row r="54" spans="1:200" x14ac:dyDescent="0.2">
      <c r="A54">
        <f>ROW(Source!A34)</f>
        <v>34</v>
      </c>
      <c r="B54">
        <v>34748518</v>
      </c>
      <c r="C54">
        <v>34750657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257</v>
      </c>
      <c r="J54" t="s">
        <v>3</v>
      </c>
      <c r="K54" t="s">
        <v>258</v>
      </c>
      <c r="L54">
        <v>1191</v>
      </c>
      <c r="N54">
        <v>1013</v>
      </c>
      <c r="O54" t="s">
        <v>254</v>
      </c>
      <c r="P54" t="s">
        <v>254</v>
      </c>
      <c r="Q54">
        <v>1</v>
      </c>
      <c r="W54">
        <v>0</v>
      </c>
      <c r="X54">
        <v>-1417349443</v>
      </c>
      <c r="Y54">
        <v>0.02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0.02</v>
      </c>
      <c r="AU54" t="s">
        <v>3</v>
      </c>
      <c r="AV54">
        <v>2</v>
      </c>
      <c r="AW54">
        <v>2</v>
      </c>
      <c r="AX54">
        <v>34750659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Y54*Source!I34</f>
        <v>0.04</v>
      </c>
      <c r="CY54">
        <f t="shared" si="13"/>
        <v>0</v>
      </c>
      <c r="CZ54">
        <f t="shared" si="14"/>
        <v>0</v>
      </c>
      <c r="DA54">
        <f t="shared" si="15"/>
        <v>1</v>
      </c>
      <c r="DB54">
        <f t="shared" si="8"/>
        <v>0</v>
      </c>
      <c r="DC54">
        <f t="shared" si="9"/>
        <v>0</v>
      </c>
      <c r="GQ54">
        <v>-1</v>
      </c>
      <c r="GR54">
        <v>-1</v>
      </c>
    </row>
    <row r="55" spans="1:200" x14ac:dyDescent="0.2">
      <c r="A55">
        <f>ROW(Source!A34)</f>
        <v>34</v>
      </c>
      <c r="B55">
        <v>34748518</v>
      </c>
      <c r="C55">
        <v>34750657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259</v>
      </c>
      <c r="J55" t="s">
        <v>260</v>
      </c>
      <c r="K55" t="s">
        <v>261</v>
      </c>
      <c r="L55">
        <v>1368</v>
      </c>
      <c r="N55">
        <v>1011</v>
      </c>
      <c r="O55" t="s">
        <v>262</v>
      </c>
      <c r="P55" t="s">
        <v>262</v>
      </c>
      <c r="Q55">
        <v>1</v>
      </c>
      <c r="W55">
        <v>0</v>
      </c>
      <c r="X55">
        <v>-1718674368</v>
      </c>
      <c r="Y55">
        <v>0.01</v>
      </c>
      <c r="AA55">
        <v>0</v>
      </c>
      <c r="AB55">
        <v>111.99</v>
      </c>
      <c r="AC55">
        <v>13.5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34750660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Y55*Source!I34</f>
        <v>0.02</v>
      </c>
      <c r="CY55">
        <f>AB55</f>
        <v>111.99</v>
      </c>
      <c r="CZ55">
        <f>AF55</f>
        <v>111.99</v>
      </c>
      <c r="DA55">
        <f>AJ55</f>
        <v>1</v>
      </c>
      <c r="DB55">
        <f t="shared" si="8"/>
        <v>1.1200000000000001</v>
      </c>
      <c r="DC55">
        <f t="shared" si="9"/>
        <v>0.14000000000000001</v>
      </c>
      <c r="GQ55">
        <v>-1</v>
      </c>
      <c r="GR55">
        <v>-1</v>
      </c>
    </row>
    <row r="56" spans="1:200" x14ac:dyDescent="0.2">
      <c r="A56">
        <f>ROW(Source!A34)</f>
        <v>34</v>
      </c>
      <c r="B56">
        <v>34748518</v>
      </c>
      <c r="C56">
        <v>34750657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266</v>
      </c>
      <c r="J56" t="s">
        <v>267</v>
      </c>
      <c r="K56" t="s">
        <v>268</v>
      </c>
      <c r="L56">
        <v>1368</v>
      </c>
      <c r="N56">
        <v>1011</v>
      </c>
      <c r="O56" t="s">
        <v>262</v>
      </c>
      <c r="P56" t="s">
        <v>262</v>
      </c>
      <c r="Q56">
        <v>1</v>
      </c>
      <c r="W56">
        <v>0</v>
      </c>
      <c r="X56">
        <v>1372534845</v>
      </c>
      <c r="Y56">
        <v>0.01</v>
      </c>
      <c r="AA56">
        <v>0</v>
      </c>
      <c r="AB56">
        <v>65.709999999999994</v>
      </c>
      <c r="AC56">
        <v>11.6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0.01</v>
      </c>
      <c r="AU56" t="s">
        <v>3</v>
      </c>
      <c r="AV56">
        <v>0</v>
      </c>
      <c r="AW56">
        <v>2</v>
      </c>
      <c r="AX56">
        <v>34750661</v>
      </c>
      <c r="AY56">
        <v>1</v>
      </c>
      <c r="AZ56">
        <v>0</v>
      </c>
      <c r="BA56">
        <v>58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Y56*Source!I34</f>
        <v>0.02</v>
      </c>
      <c r="CY56">
        <f>AB56</f>
        <v>65.709999999999994</v>
      </c>
      <c r="CZ56">
        <f>AF56</f>
        <v>65.709999999999994</v>
      </c>
      <c r="DA56">
        <f>AJ56</f>
        <v>1</v>
      </c>
      <c r="DB56">
        <f t="shared" si="8"/>
        <v>0.66</v>
      </c>
      <c r="DC56">
        <f t="shared" si="9"/>
        <v>0.12</v>
      </c>
      <c r="GQ56">
        <v>-1</v>
      </c>
      <c r="GR56">
        <v>-1</v>
      </c>
    </row>
    <row r="57" spans="1:200" x14ac:dyDescent="0.2">
      <c r="A57">
        <f>ROW(Source!A34)</f>
        <v>34</v>
      </c>
      <c r="B57">
        <v>34748518</v>
      </c>
      <c r="C57">
        <v>34750657</v>
      </c>
      <c r="D57">
        <v>31449058</v>
      </c>
      <c r="E57">
        <v>1</v>
      </c>
      <c r="F57">
        <v>1</v>
      </c>
      <c r="G57">
        <v>1</v>
      </c>
      <c r="H57">
        <v>3</v>
      </c>
      <c r="I57" t="s">
        <v>309</v>
      </c>
      <c r="J57" t="s">
        <v>310</v>
      </c>
      <c r="K57" t="s">
        <v>311</v>
      </c>
      <c r="L57">
        <v>1348</v>
      </c>
      <c r="N57">
        <v>1009</v>
      </c>
      <c r="O57" t="s">
        <v>290</v>
      </c>
      <c r="P57" t="s">
        <v>290</v>
      </c>
      <c r="Q57">
        <v>1000</v>
      </c>
      <c r="W57">
        <v>0</v>
      </c>
      <c r="X57">
        <v>251332693</v>
      </c>
      <c r="Y57">
        <v>3.0000000000000001E-5</v>
      </c>
      <c r="AA57">
        <v>12430</v>
      </c>
      <c r="AB57">
        <v>0</v>
      </c>
      <c r="AC57">
        <v>0</v>
      </c>
      <c r="AD57">
        <v>0</v>
      </c>
      <c r="AE57">
        <v>12430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3.0000000000000001E-5</v>
      </c>
      <c r="AU57" t="s">
        <v>3</v>
      </c>
      <c r="AV57">
        <v>0</v>
      </c>
      <c r="AW57">
        <v>2</v>
      </c>
      <c r="AX57">
        <v>34750662</v>
      </c>
      <c r="AY57">
        <v>1</v>
      </c>
      <c r="AZ57">
        <v>0</v>
      </c>
      <c r="BA57">
        <v>59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Y57*Source!I34</f>
        <v>6.0000000000000002E-5</v>
      </c>
      <c r="CY57">
        <f>AA57</f>
        <v>12430</v>
      </c>
      <c r="CZ57">
        <f>AE57</f>
        <v>12430</v>
      </c>
      <c r="DA57">
        <f>AI57</f>
        <v>1</v>
      </c>
      <c r="DB57">
        <f t="shared" si="8"/>
        <v>0.37</v>
      </c>
      <c r="DC57">
        <f t="shared" si="9"/>
        <v>0</v>
      </c>
      <c r="DH57">
        <f>Source!I34*SmtRes!Y57</f>
        <v>6.0000000000000002E-5</v>
      </c>
      <c r="DI57">
        <f>AA57</f>
        <v>12430</v>
      </c>
      <c r="DJ57">
        <f>EtalonRes!Y59</f>
        <v>12430</v>
      </c>
      <c r="DK57">
        <f>Source!BC34</f>
        <v>1</v>
      </c>
      <c r="GQ57">
        <v>-1</v>
      </c>
      <c r="GR57">
        <v>-1</v>
      </c>
    </row>
    <row r="58" spans="1:200" x14ac:dyDescent="0.2">
      <c r="A58">
        <f>ROW(Source!A34)</f>
        <v>34</v>
      </c>
      <c r="B58">
        <v>34748518</v>
      </c>
      <c r="C58">
        <v>34750657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277</v>
      </c>
      <c r="J58" t="s">
        <v>3</v>
      </c>
      <c r="K58" t="s">
        <v>278</v>
      </c>
      <c r="L58">
        <v>1374</v>
      </c>
      <c r="N58">
        <v>1013</v>
      </c>
      <c r="O58" t="s">
        <v>279</v>
      </c>
      <c r="P58" t="s">
        <v>279</v>
      </c>
      <c r="Q58">
        <v>1</v>
      </c>
      <c r="W58">
        <v>0</v>
      </c>
      <c r="X58">
        <v>-1731369543</v>
      </c>
      <c r="Y58">
        <v>0.14000000000000001</v>
      </c>
      <c r="AA58">
        <v>1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0.14000000000000001</v>
      </c>
      <c r="AU58" t="s">
        <v>3</v>
      </c>
      <c r="AV58">
        <v>0</v>
      </c>
      <c r="AW58">
        <v>2</v>
      </c>
      <c r="AX58">
        <v>34750663</v>
      </c>
      <c r="AY58">
        <v>1</v>
      </c>
      <c r="AZ58">
        <v>0</v>
      </c>
      <c r="BA58">
        <v>60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Y58*Source!I34</f>
        <v>0.28000000000000003</v>
      </c>
      <c r="CY58">
        <f>AA58</f>
        <v>1</v>
      </c>
      <c r="CZ58">
        <f>AE58</f>
        <v>1</v>
      </c>
      <c r="DA58">
        <f>AI58</f>
        <v>1</v>
      </c>
      <c r="DB58">
        <f t="shared" si="8"/>
        <v>0.14000000000000001</v>
      </c>
      <c r="DC58">
        <f t="shared" si="9"/>
        <v>0</v>
      </c>
      <c r="DH58">
        <f>Source!I34*SmtRes!Y58</f>
        <v>0.28000000000000003</v>
      </c>
      <c r="DI58">
        <f>AA58</f>
        <v>1</v>
      </c>
      <c r="DJ58">
        <f>EtalonRes!Y60</f>
        <v>1</v>
      </c>
      <c r="DK58">
        <f>Source!BC34</f>
        <v>1</v>
      </c>
      <c r="GQ58">
        <v>-1</v>
      </c>
      <c r="GR58">
        <v>-1</v>
      </c>
    </row>
    <row r="59" spans="1:200" x14ac:dyDescent="0.2">
      <c r="A59">
        <f>ROW(Source!A35)</f>
        <v>35</v>
      </c>
      <c r="B59">
        <v>34748540</v>
      </c>
      <c r="C59">
        <v>34750657</v>
      </c>
      <c r="D59">
        <v>31725395</v>
      </c>
      <c r="E59">
        <v>1</v>
      </c>
      <c r="F59">
        <v>1</v>
      </c>
      <c r="G59">
        <v>1</v>
      </c>
      <c r="H59">
        <v>1</v>
      </c>
      <c r="I59" t="s">
        <v>307</v>
      </c>
      <c r="J59" t="s">
        <v>3</v>
      </c>
      <c r="K59" t="s">
        <v>308</v>
      </c>
      <c r="L59">
        <v>1191</v>
      </c>
      <c r="N59">
        <v>1013</v>
      </c>
      <c r="O59" t="s">
        <v>254</v>
      </c>
      <c r="P59" t="s">
        <v>254</v>
      </c>
      <c r="Q59">
        <v>1</v>
      </c>
      <c r="W59">
        <v>0</v>
      </c>
      <c r="X59">
        <v>912892513</v>
      </c>
      <c r="Y59">
        <v>0.7</v>
      </c>
      <c r="AA59">
        <v>0</v>
      </c>
      <c r="AB59">
        <v>0</v>
      </c>
      <c r="AC59">
        <v>0</v>
      </c>
      <c r="AD59">
        <v>124</v>
      </c>
      <c r="AE59">
        <v>0</v>
      </c>
      <c r="AF59">
        <v>0</v>
      </c>
      <c r="AG59">
        <v>0</v>
      </c>
      <c r="AH59">
        <v>9.92</v>
      </c>
      <c r="AI59">
        <v>1</v>
      </c>
      <c r="AJ59">
        <v>1</v>
      </c>
      <c r="AK59">
        <v>1</v>
      </c>
      <c r="AL59">
        <v>12.5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0.7</v>
      </c>
      <c r="AU59" t="s">
        <v>3</v>
      </c>
      <c r="AV59">
        <v>1</v>
      </c>
      <c r="AW59">
        <v>2</v>
      </c>
      <c r="AX59">
        <v>34750658</v>
      </c>
      <c r="AY59">
        <v>1</v>
      </c>
      <c r="AZ59">
        <v>0</v>
      </c>
      <c r="BA59">
        <v>61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Y59*Source!I35</f>
        <v>1.4</v>
      </c>
      <c r="CY59">
        <f>AD59</f>
        <v>124</v>
      </c>
      <c r="CZ59">
        <f>AH59</f>
        <v>9.92</v>
      </c>
      <c r="DA59">
        <f>AL59</f>
        <v>12.5</v>
      </c>
      <c r="DB59">
        <f t="shared" si="8"/>
        <v>6.94</v>
      </c>
      <c r="DC59">
        <f t="shared" si="9"/>
        <v>0</v>
      </c>
      <c r="GQ59">
        <v>-1</v>
      </c>
      <c r="GR59">
        <v>-1</v>
      </c>
    </row>
    <row r="60" spans="1:200" x14ac:dyDescent="0.2">
      <c r="A60">
        <f>ROW(Source!A35)</f>
        <v>35</v>
      </c>
      <c r="B60">
        <v>34748540</v>
      </c>
      <c r="C60">
        <v>34750657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257</v>
      </c>
      <c r="J60" t="s">
        <v>3</v>
      </c>
      <c r="K60" t="s">
        <v>258</v>
      </c>
      <c r="L60">
        <v>1191</v>
      </c>
      <c r="N60">
        <v>1013</v>
      </c>
      <c r="O60" t="s">
        <v>254</v>
      </c>
      <c r="P60" t="s">
        <v>254</v>
      </c>
      <c r="Q60">
        <v>1</v>
      </c>
      <c r="W60">
        <v>0</v>
      </c>
      <c r="X60">
        <v>-1417349443</v>
      </c>
      <c r="Y60">
        <v>0.02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12.5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0.02</v>
      </c>
      <c r="AU60" t="s">
        <v>3</v>
      </c>
      <c r="AV60">
        <v>2</v>
      </c>
      <c r="AW60">
        <v>2</v>
      </c>
      <c r="AX60">
        <v>34750659</v>
      </c>
      <c r="AY60">
        <v>1</v>
      </c>
      <c r="AZ60">
        <v>0</v>
      </c>
      <c r="BA60">
        <v>62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Y60*Source!I35</f>
        <v>0.04</v>
      </c>
      <c r="CY60">
        <f>AD60</f>
        <v>0</v>
      </c>
      <c r="CZ60">
        <f>AH60</f>
        <v>0</v>
      </c>
      <c r="DA60">
        <f>AL60</f>
        <v>1</v>
      </c>
      <c r="DB60">
        <f t="shared" si="8"/>
        <v>0</v>
      </c>
      <c r="DC60">
        <f t="shared" si="9"/>
        <v>0</v>
      </c>
      <c r="GQ60">
        <v>-1</v>
      </c>
      <c r="GR60">
        <v>-1</v>
      </c>
    </row>
    <row r="61" spans="1:200" x14ac:dyDescent="0.2">
      <c r="A61">
        <f>ROW(Source!A35)</f>
        <v>35</v>
      </c>
      <c r="B61">
        <v>34748540</v>
      </c>
      <c r="C61">
        <v>34750657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259</v>
      </c>
      <c r="J61" t="s">
        <v>260</v>
      </c>
      <c r="K61" t="s">
        <v>261</v>
      </c>
      <c r="L61">
        <v>1368</v>
      </c>
      <c r="N61">
        <v>1011</v>
      </c>
      <c r="O61" t="s">
        <v>262</v>
      </c>
      <c r="P61" t="s">
        <v>262</v>
      </c>
      <c r="Q61">
        <v>1</v>
      </c>
      <c r="W61">
        <v>0</v>
      </c>
      <c r="X61">
        <v>-1718674368</v>
      </c>
      <c r="Y61">
        <v>0.01</v>
      </c>
      <c r="AA61">
        <v>0</v>
      </c>
      <c r="AB61">
        <v>1399.88</v>
      </c>
      <c r="AC61">
        <v>13.5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12.5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0.01</v>
      </c>
      <c r="AU61" t="s">
        <v>3</v>
      </c>
      <c r="AV61">
        <v>0</v>
      </c>
      <c r="AW61">
        <v>2</v>
      </c>
      <c r="AX61">
        <v>34750660</v>
      </c>
      <c r="AY61">
        <v>1</v>
      </c>
      <c r="AZ61">
        <v>0</v>
      </c>
      <c r="BA61">
        <v>63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Y61*Source!I35</f>
        <v>0.02</v>
      </c>
      <c r="CY61">
        <f>AB61</f>
        <v>1399.88</v>
      </c>
      <c r="CZ61">
        <f>AF61</f>
        <v>111.99</v>
      </c>
      <c r="DA61">
        <f>AJ61</f>
        <v>12.5</v>
      </c>
      <c r="DB61">
        <f t="shared" si="8"/>
        <v>1.1200000000000001</v>
      </c>
      <c r="DC61">
        <f t="shared" si="9"/>
        <v>0.14000000000000001</v>
      </c>
      <c r="GQ61">
        <v>-1</v>
      </c>
      <c r="GR61">
        <v>-1</v>
      </c>
    </row>
    <row r="62" spans="1:200" x14ac:dyDescent="0.2">
      <c r="A62">
        <f>ROW(Source!A35)</f>
        <v>35</v>
      </c>
      <c r="B62">
        <v>34748540</v>
      </c>
      <c r="C62">
        <v>34750657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266</v>
      </c>
      <c r="J62" t="s">
        <v>267</v>
      </c>
      <c r="K62" t="s">
        <v>268</v>
      </c>
      <c r="L62">
        <v>1368</v>
      </c>
      <c r="N62">
        <v>1011</v>
      </c>
      <c r="O62" t="s">
        <v>262</v>
      </c>
      <c r="P62" t="s">
        <v>262</v>
      </c>
      <c r="Q62">
        <v>1</v>
      </c>
      <c r="W62">
        <v>0</v>
      </c>
      <c r="X62">
        <v>1372534845</v>
      </c>
      <c r="Y62">
        <v>0.01</v>
      </c>
      <c r="AA62">
        <v>0</v>
      </c>
      <c r="AB62">
        <v>821.38</v>
      </c>
      <c r="AC62">
        <v>11.6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12.5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0.01</v>
      </c>
      <c r="AU62" t="s">
        <v>3</v>
      </c>
      <c r="AV62">
        <v>0</v>
      </c>
      <c r="AW62">
        <v>2</v>
      </c>
      <c r="AX62">
        <v>34750661</v>
      </c>
      <c r="AY62">
        <v>1</v>
      </c>
      <c r="AZ62">
        <v>0</v>
      </c>
      <c r="BA62">
        <v>64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Y62*Source!I35</f>
        <v>0.02</v>
      </c>
      <c r="CY62">
        <f>AB62</f>
        <v>821.38</v>
      </c>
      <c r="CZ62">
        <f>AF62</f>
        <v>65.709999999999994</v>
      </c>
      <c r="DA62">
        <f>AJ62</f>
        <v>12.5</v>
      </c>
      <c r="DB62">
        <f t="shared" si="8"/>
        <v>0.66</v>
      </c>
      <c r="DC62">
        <f t="shared" si="9"/>
        <v>0.12</v>
      </c>
      <c r="GQ62">
        <v>-1</v>
      </c>
      <c r="GR62">
        <v>-1</v>
      </c>
    </row>
    <row r="63" spans="1:200" x14ac:dyDescent="0.2">
      <c r="A63">
        <f>ROW(Source!A35)</f>
        <v>35</v>
      </c>
      <c r="B63">
        <v>34748540</v>
      </c>
      <c r="C63">
        <v>34750657</v>
      </c>
      <c r="D63">
        <v>31449058</v>
      </c>
      <c r="E63">
        <v>1</v>
      </c>
      <c r="F63">
        <v>1</v>
      </c>
      <c r="G63">
        <v>1</v>
      </c>
      <c r="H63">
        <v>3</v>
      </c>
      <c r="I63" t="s">
        <v>309</v>
      </c>
      <c r="J63" t="s">
        <v>310</v>
      </c>
      <c r="K63" t="s">
        <v>311</v>
      </c>
      <c r="L63">
        <v>1348</v>
      </c>
      <c r="N63">
        <v>1009</v>
      </c>
      <c r="O63" t="s">
        <v>290</v>
      </c>
      <c r="P63" t="s">
        <v>290</v>
      </c>
      <c r="Q63">
        <v>1000</v>
      </c>
      <c r="W63">
        <v>0</v>
      </c>
      <c r="X63">
        <v>251332693</v>
      </c>
      <c r="Y63">
        <v>3.0000000000000001E-5</v>
      </c>
      <c r="AA63">
        <v>155375</v>
      </c>
      <c r="AB63">
        <v>0</v>
      </c>
      <c r="AC63">
        <v>0</v>
      </c>
      <c r="AD63">
        <v>0</v>
      </c>
      <c r="AE63">
        <v>12430</v>
      </c>
      <c r="AF63">
        <v>0</v>
      </c>
      <c r="AG63">
        <v>0</v>
      </c>
      <c r="AH63">
        <v>0</v>
      </c>
      <c r="AI63">
        <v>12.5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3.0000000000000001E-5</v>
      </c>
      <c r="AU63" t="s">
        <v>3</v>
      </c>
      <c r="AV63">
        <v>0</v>
      </c>
      <c r="AW63">
        <v>2</v>
      </c>
      <c r="AX63">
        <v>34750662</v>
      </c>
      <c r="AY63">
        <v>1</v>
      </c>
      <c r="AZ63">
        <v>0</v>
      </c>
      <c r="BA63">
        <v>65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Y63*Source!I35</f>
        <v>6.0000000000000002E-5</v>
      </c>
      <c r="CY63">
        <f>AA63</f>
        <v>155375</v>
      </c>
      <c r="CZ63">
        <f>AE63</f>
        <v>12430</v>
      </c>
      <c r="DA63">
        <f>AI63</f>
        <v>12.5</v>
      </c>
      <c r="DB63">
        <f t="shared" si="8"/>
        <v>0.37</v>
      </c>
      <c r="DC63">
        <f t="shared" si="9"/>
        <v>0</v>
      </c>
      <c r="DH63">
        <f>Source!I35*SmtRes!Y63</f>
        <v>6.0000000000000002E-5</v>
      </c>
      <c r="DI63">
        <f>AA63</f>
        <v>155375</v>
      </c>
      <c r="DJ63">
        <f>EtalonRes!Y65</f>
        <v>12430</v>
      </c>
      <c r="DK63">
        <f>Source!BC35</f>
        <v>12.5</v>
      </c>
      <c r="GQ63">
        <v>-1</v>
      </c>
      <c r="GR63">
        <v>-1</v>
      </c>
    </row>
    <row r="64" spans="1:200" x14ac:dyDescent="0.2">
      <c r="A64">
        <f>ROW(Source!A35)</f>
        <v>35</v>
      </c>
      <c r="B64">
        <v>34748540</v>
      </c>
      <c r="C64">
        <v>34750657</v>
      </c>
      <c r="D64">
        <v>31443668</v>
      </c>
      <c r="E64">
        <v>17</v>
      </c>
      <c r="F64">
        <v>1</v>
      </c>
      <c r="G64">
        <v>1</v>
      </c>
      <c r="H64">
        <v>3</v>
      </c>
      <c r="I64" t="s">
        <v>277</v>
      </c>
      <c r="J64" t="s">
        <v>3</v>
      </c>
      <c r="K64" t="s">
        <v>278</v>
      </c>
      <c r="L64">
        <v>1374</v>
      </c>
      <c r="N64">
        <v>1013</v>
      </c>
      <c r="O64" t="s">
        <v>279</v>
      </c>
      <c r="P64" t="s">
        <v>279</v>
      </c>
      <c r="Q64">
        <v>1</v>
      </c>
      <c r="W64">
        <v>0</v>
      </c>
      <c r="X64">
        <v>-1731369543</v>
      </c>
      <c r="Y64">
        <v>0.14000000000000001</v>
      </c>
      <c r="AA64">
        <v>12.5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12.5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0.14000000000000001</v>
      </c>
      <c r="AU64" t="s">
        <v>3</v>
      </c>
      <c r="AV64">
        <v>0</v>
      </c>
      <c r="AW64">
        <v>2</v>
      </c>
      <c r="AX64">
        <v>34750663</v>
      </c>
      <c r="AY64">
        <v>1</v>
      </c>
      <c r="AZ64">
        <v>0</v>
      </c>
      <c r="BA64">
        <v>66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Y64*Source!I35</f>
        <v>0.28000000000000003</v>
      </c>
      <c r="CY64">
        <f>AA64</f>
        <v>12.5</v>
      </c>
      <c r="CZ64">
        <f>AE64</f>
        <v>1</v>
      </c>
      <c r="DA64">
        <f>AI64</f>
        <v>12.5</v>
      </c>
      <c r="DB64">
        <f t="shared" si="8"/>
        <v>0.14000000000000001</v>
      </c>
      <c r="DC64">
        <f t="shared" si="9"/>
        <v>0</v>
      </c>
      <c r="DH64">
        <f>Source!I35*SmtRes!Y64</f>
        <v>0.28000000000000003</v>
      </c>
      <c r="DI64">
        <f>AA64</f>
        <v>12.5</v>
      </c>
      <c r="DJ64">
        <f>EtalonRes!Y66</f>
        <v>1</v>
      </c>
      <c r="DK64">
        <f>Source!BC35</f>
        <v>12.5</v>
      </c>
      <c r="GQ64">
        <v>-1</v>
      </c>
      <c r="GR64">
        <v>-1</v>
      </c>
    </row>
    <row r="65" spans="1:200" x14ac:dyDescent="0.2">
      <c r="A65">
        <f>ROW(Source!A36)</f>
        <v>36</v>
      </c>
      <c r="B65">
        <v>34748518</v>
      </c>
      <c r="C65">
        <v>34748716</v>
      </c>
      <c r="D65">
        <v>31757860</v>
      </c>
      <c r="E65">
        <v>1</v>
      </c>
      <c r="F65">
        <v>1</v>
      </c>
      <c r="G65">
        <v>1</v>
      </c>
      <c r="H65">
        <v>1</v>
      </c>
      <c r="I65" t="s">
        <v>312</v>
      </c>
      <c r="J65" t="s">
        <v>3</v>
      </c>
      <c r="K65" t="s">
        <v>313</v>
      </c>
      <c r="L65">
        <v>1191</v>
      </c>
      <c r="N65">
        <v>1013</v>
      </c>
      <c r="O65" t="s">
        <v>254</v>
      </c>
      <c r="P65" t="s">
        <v>254</v>
      </c>
      <c r="Q65">
        <v>1</v>
      </c>
      <c r="W65">
        <v>0</v>
      </c>
      <c r="X65">
        <v>1446053411</v>
      </c>
      <c r="Y65">
        <v>9.27</v>
      </c>
      <c r="AA65">
        <v>0</v>
      </c>
      <c r="AB65">
        <v>0</v>
      </c>
      <c r="AC65">
        <v>0</v>
      </c>
      <c r="AD65">
        <v>11.09</v>
      </c>
      <c r="AE65">
        <v>0</v>
      </c>
      <c r="AF65">
        <v>0</v>
      </c>
      <c r="AG65">
        <v>0</v>
      </c>
      <c r="AH65">
        <v>11.09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9.27</v>
      </c>
      <c r="AU65" t="s">
        <v>3</v>
      </c>
      <c r="AV65">
        <v>1</v>
      </c>
      <c r="AW65">
        <v>2</v>
      </c>
      <c r="AX65">
        <v>34748717</v>
      </c>
      <c r="AY65">
        <v>1</v>
      </c>
      <c r="AZ65">
        <v>0</v>
      </c>
      <c r="BA65">
        <v>67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Y65*Source!I36</f>
        <v>0.74159999999999993</v>
      </c>
      <c r="CY65">
        <f>AD65</f>
        <v>11.09</v>
      </c>
      <c r="CZ65">
        <f>AH65</f>
        <v>11.09</v>
      </c>
      <c r="DA65">
        <f>AL65</f>
        <v>1</v>
      </c>
      <c r="DB65">
        <f t="shared" ref="DB65:DB96" si="16">ROUND(ROUND(AT65*CZ65,2),2)</f>
        <v>102.8</v>
      </c>
      <c r="DC65">
        <f t="shared" ref="DC65:DC96" si="17">ROUND(ROUND(AT65*AG65,2),2)</f>
        <v>0</v>
      </c>
      <c r="GQ65">
        <v>-1</v>
      </c>
      <c r="GR65">
        <v>-1</v>
      </c>
    </row>
    <row r="66" spans="1:200" x14ac:dyDescent="0.2">
      <c r="A66">
        <f>ROW(Source!A36)</f>
        <v>36</v>
      </c>
      <c r="B66">
        <v>34748518</v>
      </c>
      <c r="C66">
        <v>34748716</v>
      </c>
      <c r="D66">
        <v>31449933</v>
      </c>
      <c r="E66">
        <v>1</v>
      </c>
      <c r="F66">
        <v>1</v>
      </c>
      <c r="G66">
        <v>1</v>
      </c>
      <c r="H66">
        <v>3</v>
      </c>
      <c r="I66" t="s">
        <v>314</v>
      </c>
      <c r="J66" t="s">
        <v>315</v>
      </c>
      <c r="K66" t="s">
        <v>316</v>
      </c>
      <c r="L66">
        <v>1346</v>
      </c>
      <c r="N66">
        <v>1009</v>
      </c>
      <c r="O66" t="s">
        <v>272</v>
      </c>
      <c r="P66" t="s">
        <v>272</v>
      </c>
      <c r="Q66">
        <v>1</v>
      </c>
      <c r="W66">
        <v>0</v>
      </c>
      <c r="X66">
        <v>-731615568</v>
      </c>
      <c r="Y66">
        <v>0.2</v>
      </c>
      <c r="AA66">
        <v>23.09</v>
      </c>
      <c r="AB66">
        <v>0</v>
      </c>
      <c r="AC66">
        <v>0</v>
      </c>
      <c r="AD66">
        <v>0</v>
      </c>
      <c r="AE66">
        <v>23.09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0.2</v>
      </c>
      <c r="AU66" t="s">
        <v>3</v>
      </c>
      <c r="AV66">
        <v>0</v>
      </c>
      <c r="AW66">
        <v>2</v>
      </c>
      <c r="AX66">
        <v>34748718</v>
      </c>
      <c r="AY66">
        <v>1</v>
      </c>
      <c r="AZ66">
        <v>0</v>
      </c>
      <c r="BA66">
        <v>68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Y66*Source!I36</f>
        <v>1.6E-2</v>
      </c>
      <c r="CY66">
        <f>AA66</f>
        <v>23.09</v>
      </c>
      <c r="CZ66">
        <f>AE66</f>
        <v>23.09</v>
      </c>
      <c r="DA66">
        <f>AI66</f>
        <v>1</v>
      </c>
      <c r="DB66">
        <f t="shared" si="16"/>
        <v>4.62</v>
      </c>
      <c r="DC66">
        <f t="shared" si="17"/>
        <v>0</v>
      </c>
      <c r="DH66">
        <f>Source!I36*SmtRes!Y66</f>
        <v>1.6E-2</v>
      </c>
      <c r="DI66">
        <f>AA66</f>
        <v>23.09</v>
      </c>
      <c r="DJ66">
        <f>EtalonRes!Y68</f>
        <v>23.09</v>
      </c>
      <c r="DK66">
        <f>Source!BC36</f>
        <v>1</v>
      </c>
      <c r="GQ66">
        <v>-1</v>
      </c>
      <c r="GR66">
        <v>-1</v>
      </c>
    </row>
    <row r="67" spans="1:200" x14ac:dyDescent="0.2">
      <c r="A67">
        <f>ROW(Source!A36)</f>
        <v>36</v>
      </c>
      <c r="B67">
        <v>34748518</v>
      </c>
      <c r="C67">
        <v>34748716</v>
      </c>
      <c r="D67">
        <v>31515411</v>
      </c>
      <c r="E67">
        <v>1</v>
      </c>
      <c r="F67">
        <v>1</v>
      </c>
      <c r="G67">
        <v>1</v>
      </c>
      <c r="H67">
        <v>3</v>
      </c>
      <c r="I67" t="s">
        <v>317</v>
      </c>
      <c r="J67" t="s">
        <v>318</v>
      </c>
      <c r="K67" t="s">
        <v>319</v>
      </c>
      <c r="L67">
        <v>1355</v>
      </c>
      <c r="N67">
        <v>1010</v>
      </c>
      <c r="O67" t="s">
        <v>320</v>
      </c>
      <c r="P67" t="s">
        <v>320</v>
      </c>
      <c r="Q67">
        <v>100</v>
      </c>
      <c r="W67">
        <v>0</v>
      </c>
      <c r="X67">
        <v>1924823676</v>
      </c>
      <c r="Y67">
        <v>0.25</v>
      </c>
      <c r="AA67">
        <v>30.74</v>
      </c>
      <c r="AB67">
        <v>0</v>
      </c>
      <c r="AC67">
        <v>0</v>
      </c>
      <c r="AD67">
        <v>0</v>
      </c>
      <c r="AE67">
        <v>30.74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0.25</v>
      </c>
      <c r="AU67" t="s">
        <v>3</v>
      </c>
      <c r="AV67">
        <v>0</v>
      </c>
      <c r="AW67">
        <v>2</v>
      </c>
      <c r="AX67">
        <v>34748719</v>
      </c>
      <c r="AY67">
        <v>1</v>
      </c>
      <c r="AZ67">
        <v>0</v>
      </c>
      <c r="BA67">
        <v>69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Y67*Source!I36</f>
        <v>0.02</v>
      </c>
      <c r="CY67">
        <f>AA67</f>
        <v>30.74</v>
      </c>
      <c r="CZ67">
        <f>AE67</f>
        <v>30.74</v>
      </c>
      <c r="DA67">
        <f>AI67</f>
        <v>1</v>
      </c>
      <c r="DB67">
        <f t="shared" si="16"/>
        <v>7.69</v>
      </c>
      <c r="DC67">
        <f t="shared" si="17"/>
        <v>0</v>
      </c>
      <c r="DH67">
        <f>Source!I36*SmtRes!Y67</f>
        <v>0.02</v>
      </c>
      <c r="DI67">
        <f>AA67</f>
        <v>30.74</v>
      </c>
      <c r="DJ67">
        <f>EtalonRes!Y69</f>
        <v>30.74</v>
      </c>
      <c r="DK67">
        <f>Source!BC36</f>
        <v>1</v>
      </c>
      <c r="GQ67">
        <v>-1</v>
      </c>
      <c r="GR67">
        <v>-1</v>
      </c>
    </row>
    <row r="68" spans="1:200" x14ac:dyDescent="0.2">
      <c r="A68">
        <f>ROW(Source!A36)</f>
        <v>36</v>
      </c>
      <c r="B68">
        <v>34748518</v>
      </c>
      <c r="C68">
        <v>34748716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277</v>
      </c>
      <c r="J68" t="s">
        <v>3</v>
      </c>
      <c r="K68" t="s">
        <v>278</v>
      </c>
      <c r="L68">
        <v>1374</v>
      </c>
      <c r="N68">
        <v>1013</v>
      </c>
      <c r="O68" t="s">
        <v>279</v>
      </c>
      <c r="P68" t="s">
        <v>279</v>
      </c>
      <c r="Q68">
        <v>1</v>
      </c>
      <c r="W68">
        <v>0</v>
      </c>
      <c r="X68">
        <v>-1731369543</v>
      </c>
      <c r="Y68">
        <v>2.06</v>
      </c>
      <c r="AA68">
        <v>1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2.06</v>
      </c>
      <c r="AU68" t="s">
        <v>3</v>
      </c>
      <c r="AV68">
        <v>0</v>
      </c>
      <c r="AW68">
        <v>2</v>
      </c>
      <c r="AX68">
        <v>34748720</v>
      </c>
      <c r="AY68">
        <v>1</v>
      </c>
      <c r="AZ68">
        <v>0</v>
      </c>
      <c r="BA68">
        <v>70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Y68*Source!I36</f>
        <v>0.1648</v>
      </c>
      <c r="CY68">
        <f>AA68</f>
        <v>1</v>
      </c>
      <c r="CZ68">
        <f>AE68</f>
        <v>1</v>
      </c>
      <c r="DA68">
        <f>AI68</f>
        <v>1</v>
      </c>
      <c r="DB68">
        <f t="shared" si="16"/>
        <v>2.06</v>
      </c>
      <c r="DC68">
        <f t="shared" si="17"/>
        <v>0</v>
      </c>
      <c r="DH68">
        <f>Source!I36*SmtRes!Y68</f>
        <v>0.1648</v>
      </c>
      <c r="DI68">
        <f>AA68</f>
        <v>1</v>
      </c>
      <c r="DJ68">
        <f>EtalonRes!Y70</f>
        <v>1</v>
      </c>
      <c r="DK68">
        <f>Source!BC36</f>
        <v>1</v>
      </c>
      <c r="GQ68">
        <v>-1</v>
      </c>
      <c r="GR68">
        <v>-1</v>
      </c>
    </row>
    <row r="69" spans="1:200" x14ac:dyDescent="0.2">
      <c r="A69">
        <f>ROW(Source!A37)</f>
        <v>37</v>
      </c>
      <c r="B69">
        <v>34748540</v>
      </c>
      <c r="C69">
        <v>34748716</v>
      </c>
      <c r="D69">
        <v>31757860</v>
      </c>
      <c r="E69">
        <v>1</v>
      </c>
      <c r="F69">
        <v>1</v>
      </c>
      <c r="G69">
        <v>1</v>
      </c>
      <c r="H69">
        <v>1</v>
      </c>
      <c r="I69" t="s">
        <v>312</v>
      </c>
      <c r="J69" t="s">
        <v>3</v>
      </c>
      <c r="K69" t="s">
        <v>313</v>
      </c>
      <c r="L69">
        <v>1191</v>
      </c>
      <c r="N69">
        <v>1013</v>
      </c>
      <c r="O69" t="s">
        <v>254</v>
      </c>
      <c r="P69" t="s">
        <v>254</v>
      </c>
      <c r="Q69">
        <v>1</v>
      </c>
      <c r="W69">
        <v>0</v>
      </c>
      <c r="X69">
        <v>1446053411</v>
      </c>
      <c r="Y69">
        <v>9.27</v>
      </c>
      <c r="AA69">
        <v>0</v>
      </c>
      <c r="AB69">
        <v>0</v>
      </c>
      <c r="AC69">
        <v>0</v>
      </c>
      <c r="AD69">
        <v>138.63</v>
      </c>
      <c r="AE69">
        <v>0</v>
      </c>
      <c r="AF69">
        <v>0</v>
      </c>
      <c r="AG69">
        <v>0</v>
      </c>
      <c r="AH69">
        <v>11.09</v>
      </c>
      <c r="AI69">
        <v>1</v>
      </c>
      <c r="AJ69">
        <v>1</v>
      </c>
      <c r="AK69">
        <v>1</v>
      </c>
      <c r="AL69">
        <v>12.5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9.27</v>
      </c>
      <c r="AU69" t="s">
        <v>3</v>
      </c>
      <c r="AV69">
        <v>1</v>
      </c>
      <c r="AW69">
        <v>2</v>
      </c>
      <c r="AX69">
        <v>34748717</v>
      </c>
      <c r="AY69">
        <v>1</v>
      </c>
      <c r="AZ69">
        <v>0</v>
      </c>
      <c r="BA69">
        <v>71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Y69*Source!I37</f>
        <v>0.74159999999999993</v>
      </c>
      <c r="CY69">
        <f>AD69</f>
        <v>138.63</v>
      </c>
      <c r="CZ69">
        <f>AH69</f>
        <v>11.09</v>
      </c>
      <c r="DA69">
        <f>AL69</f>
        <v>12.5</v>
      </c>
      <c r="DB69">
        <f t="shared" si="16"/>
        <v>102.8</v>
      </c>
      <c r="DC69">
        <f t="shared" si="17"/>
        <v>0</v>
      </c>
      <c r="GQ69">
        <v>-1</v>
      </c>
      <c r="GR69">
        <v>-1</v>
      </c>
    </row>
    <row r="70" spans="1:200" x14ac:dyDescent="0.2">
      <c r="A70">
        <f>ROW(Source!A37)</f>
        <v>37</v>
      </c>
      <c r="B70">
        <v>34748540</v>
      </c>
      <c r="C70">
        <v>34748716</v>
      </c>
      <c r="D70">
        <v>31449933</v>
      </c>
      <c r="E70">
        <v>1</v>
      </c>
      <c r="F70">
        <v>1</v>
      </c>
      <c r="G70">
        <v>1</v>
      </c>
      <c r="H70">
        <v>3</v>
      </c>
      <c r="I70" t="s">
        <v>314</v>
      </c>
      <c r="J70" t="s">
        <v>315</v>
      </c>
      <c r="K70" t="s">
        <v>316</v>
      </c>
      <c r="L70">
        <v>1346</v>
      </c>
      <c r="N70">
        <v>1009</v>
      </c>
      <c r="O70" t="s">
        <v>272</v>
      </c>
      <c r="P70" t="s">
        <v>272</v>
      </c>
      <c r="Q70">
        <v>1</v>
      </c>
      <c r="W70">
        <v>0</v>
      </c>
      <c r="X70">
        <v>-731615568</v>
      </c>
      <c r="Y70">
        <v>0.2</v>
      </c>
      <c r="AA70">
        <v>288.63</v>
      </c>
      <c r="AB70">
        <v>0</v>
      </c>
      <c r="AC70">
        <v>0</v>
      </c>
      <c r="AD70">
        <v>0</v>
      </c>
      <c r="AE70">
        <v>23.09</v>
      </c>
      <c r="AF70">
        <v>0</v>
      </c>
      <c r="AG70">
        <v>0</v>
      </c>
      <c r="AH70">
        <v>0</v>
      </c>
      <c r="AI70">
        <v>12.5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0.2</v>
      </c>
      <c r="AU70" t="s">
        <v>3</v>
      </c>
      <c r="AV70">
        <v>0</v>
      </c>
      <c r="AW70">
        <v>2</v>
      </c>
      <c r="AX70">
        <v>34748718</v>
      </c>
      <c r="AY70">
        <v>1</v>
      </c>
      <c r="AZ70">
        <v>0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Y70*Source!I37</f>
        <v>1.6E-2</v>
      </c>
      <c r="CY70">
        <f>AA70</f>
        <v>288.63</v>
      </c>
      <c r="CZ70">
        <f>AE70</f>
        <v>23.09</v>
      </c>
      <c r="DA70">
        <f>AI70</f>
        <v>12.5</v>
      </c>
      <c r="DB70">
        <f t="shared" si="16"/>
        <v>4.62</v>
      </c>
      <c r="DC70">
        <f t="shared" si="17"/>
        <v>0</v>
      </c>
      <c r="DH70">
        <f>Source!I37*SmtRes!Y70</f>
        <v>1.6E-2</v>
      </c>
      <c r="DI70">
        <f>AA70</f>
        <v>288.63</v>
      </c>
      <c r="DJ70">
        <f>EtalonRes!Y72</f>
        <v>23.09</v>
      </c>
      <c r="DK70">
        <f>Source!BC37</f>
        <v>12.5</v>
      </c>
      <c r="GQ70">
        <v>-1</v>
      </c>
      <c r="GR70">
        <v>-1</v>
      </c>
    </row>
    <row r="71" spans="1:200" x14ac:dyDescent="0.2">
      <c r="A71">
        <f>ROW(Source!A37)</f>
        <v>37</v>
      </c>
      <c r="B71">
        <v>34748540</v>
      </c>
      <c r="C71">
        <v>34748716</v>
      </c>
      <c r="D71">
        <v>31515411</v>
      </c>
      <c r="E71">
        <v>1</v>
      </c>
      <c r="F71">
        <v>1</v>
      </c>
      <c r="G71">
        <v>1</v>
      </c>
      <c r="H71">
        <v>3</v>
      </c>
      <c r="I71" t="s">
        <v>317</v>
      </c>
      <c r="J71" t="s">
        <v>318</v>
      </c>
      <c r="K71" t="s">
        <v>319</v>
      </c>
      <c r="L71">
        <v>1355</v>
      </c>
      <c r="N71">
        <v>1010</v>
      </c>
      <c r="O71" t="s">
        <v>320</v>
      </c>
      <c r="P71" t="s">
        <v>320</v>
      </c>
      <c r="Q71">
        <v>100</v>
      </c>
      <c r="W71">
        <v>0</v>
      </c>
      <c r="X71">
        <v>1924823676</v>
      </c>
      <c r="Y71">
        <v>0.25</v>
      </c>
      <c r="AA71">
        <v>384.25</v>
      </c>
      <c r="AB71">
        <v>0</v>
      </c>
      <c r="AC71">
        <v>0</v>
      </c>
      <c r="AD71">
        <v>0</v>
      </c>
      <c r="AE71">
        <v>30.74</v>
      </c>
      <c r="AF71">
        <v>0</v>
      </c>
      <c r="AG71">
        <v>0</v>
      </c>
      <c r="AH71">
        <v>0</v>
      </c>
      <c r="AI71">
        <v>12.5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0.25</v>
      </c>
      <c r="AU71" t="s">
        <v>3</v>
      </c>
      <c r="AV71">
        <v>0</v>
      </c>
      <c r="AW71">
        <v>2</v>
      </c>
      <c r="AX71">
        <v>34748719</v>
      </c>
      <c r="AY71">
        <v>1</v>
      </c>
      <c r="AZ71">
        <v>0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Y71*Source!I37</f>
        <v>0.02</v>
      </c>
      <c r="CY71">
        <f>AA71</f>
        <v>384.25</v>
      </c>
      <c r="CZ71">
        <f>AE71</f>
        <v>30.74</v>
      </c>
      <c r="DA71">
        <f>AI71</f>
        <v>12.5</v>
      </c>
      <c r="DB71">
        <f t="shared" si="16"/>
        <v>7.69</v>
      </c>
      <c r="DC71">
        <f t="shared" si="17"/>
        <v>0</v>
      </c>
      <c r="DH71">
        <f>Source!I37*SmtRes!Y71</f>
        <v>0.02</v>
      </c>
      <c r="DI71">
        <f>AA71</f>
        <v>384.25</v>
      </c>
      <c r="DJ71">
        <f>EtalonRes!Y73</f>
        <v>30.74</v>
      </c>
      <c r="DK71">
        <f>Source!BC37</f>
        <v>12.5</v>
      </c>
      <c r="GQ71">
        <v>-1</v>
      </c>
      <c r="GR71">
        <v>-1</v>
      </c>
    </row>
    <row r="72" spans="1:200" x14ac:dyDescent="0.2">
      <c r="A72">
        <f>ROW(Source!A37)</f>
        <v>37</v>
      </c>
      <c r="B72">
        <v>34748540</v>
      </c>
      <c r="C72">
        <v>34748716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277</v>
      </c>
      <c r="J72" t="s">
        <v>3</v>
      </c>
      <c r="K72" t="s">
        <v>278</v>
      </c>
      <c r="L72">
        <v>1374</v>
      </c>
      <c r="N72">
        <v>1013</v>
      </c>
      <c r="O72" t="s">
        <v>279</v>
      </c>
      <c r="P72" t="s">
        <v>279</v>
      </c>
      <c r="Q72">
        <v>1</v>
      </c>
      <c r="W72">
        <v>0</v>
      </c>
      <c r="X72">
        <v>-1731369543</v>
      </c>
      <c r="Y72">
        <v>2.06</v>
      </c>
      <c r="AA72">
        <v>12.5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12.5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2.06</v>
      </c>
      <c r="AU72" t="s">
        <v>3</v>
      </c>
      <c r="AV72">
        <v>0</v>
      </c>
      <c r="AW72">
        <v>2</v>
      </c>
      <c r="AX72">
        <v>34748720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Y72*Source!I37</f>
        <v>0.1648</v>
      </c>
      <c r="CY72">
        <f>AA72</f>
        <v>12.5</v>
      </c>
      <c r="CZ72">
        <f>AE72</f>
        <v>1</v>
      </c>
      <c r="DA72">
        <f>AI72</f>
        <v>12.5</v>
      </c>
      <c r="DB72">
        <f t="shared" si="16"/>
        <v>2.06</v>
      </c>
      <c r="DC72">
        <f t="shared" si="17"/>
        <v>0</v>
      </c>
      <c r="DH72">
        <f>Source!I37*SmtRes!Y72</f>
        <v>0.1648</v>
      </c>
      <c r="DI72">
        <f>AA72</f>
        <v>12.5</v>
      </c>
      <c r="DJ72">
        <f>EtalonRes!Y74</f>
        <v>1</v>
      </c>
      <c r="DK72">
        <f>Source!BC37</f>
        <v>12.5</v>
      </c>
      <c r="GQ72">
        <v>-1</v>
      </c>
      <c r="GR72">
        <v>-1</v>
      </c>
    </row>
    <row r="73" spans="1:200" x14ac:dyDescent="0.2">
      <c r="A73">
        <f>ROW(Source!A38)</f>
        <v>38</v>
      </c>
      <c r="B73">
        <v>34748518</v>
      </c>
      <c r="C73">
        <v>34748723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255</v>
      </c>
      <c r="J73" t="s">
        <v>3</v>
      </c>
      <c r="K73" t="s">
        <v>256</v>
      </c>
      <c r="L73">
        <v>1191</v>
      </c>
      <c r="N73">
        <v>1013</v>
      </c>
      <c r="O73" t="s">
        <v>254</v>
      </c>
      <c r="P73" t="s">
        <v>254</v>
      </c>
      <c r="Q73">
        <v>1</v>
      </c>
      <c r="W73">
        <v>0</v>
      </c>
      <c r="X73">
        <v>1069510174</v>
      </c>
      <c r="Y73">
        <v>9.6</v>
      </c>
      <c r="AA73">
        <v>0</v>
      </c>
      <c r="AB73">
        <v>0</v>
      </c>
      <c r="AC73">
        <v>0</v>
      </c>
      <c r="AD73">
        <v>9.6199999999999992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9.6</v>
      </c>
      <c r="AU73" t="s">
        <v>3</v>
      </c>
      <c r="AV73">
        <v>1</v>
      </c>
      <c r="AW73">
        <v>2</v>
      </c>
      <c r="AX73">
        <v>34748724</v>
      </c>
      <c r="AY73">
        <v>1</v>
      </c>
      <c r="AZ73">
        <v>0</v>
      </c>
      <c r="BA73">
        <v>75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Y73*Source!I38</f>
        <v>7.1999999999999993</v>
      </c>
      <c r="CY73">
        <f>AD73</f>
        <v>9.6199999999999992</v>
      </c>
      <c r="CZ73">
        <f>AH73</f>
        <v>9.6199999999999992</v>
      </c>
      <c r="DA73">
        <f>AL73</f>
        <v>1</v>
      </c>
      <c r="DB73">
        <f t="shared" si="16"/>
        <v>92.35</v>
      </c>
      <c r="DC73">
        <f t="shared" si="17"/>
        <v>0</v>
      </c>
      <c r="GQ73">
        <v>-1</v>
      </c>
      <c r="GR73">
        <v>-1</v>
      </c>
    </row>
    <row r="74" spans="1:200" x14ac:dyDescent="0.2">
      <c r="A74">
        <f>ROW(Source!A38)</f>
        <v>38</v>
      </c>
      <c r="B74">
        <v>34748518</v>
      </c>
      <c r="C74">
        <v>34748723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277</v>
      </c>
      <c r="J74" t="s">
        <v>3</v>
      </c>
      <c r="K74" t="s">
        <v>278</v>
      </c>
      <c r="L74">
        <v>1374</v>
      </c>
      <c r="N74">
        <v>1013</v>
      </c>
      <c r="O74" t="s">
        <v>279</v>
      </c>
      <c r="P74" t="s">
        <v>279</v>
      </c>
      <c r="Q74">
        <v>1</v>
      </c>
      <c r="W74">
        <v>0</v>
      </c>
      <c r="X74">
        <v>-1731369543</v>
      </c>
      <c r="Y74">
        <v>1.85</v>
      </c>
      <c r="AA74">
        <v>1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1.85</v>
      </c>
      <c r="AU74" t="s">
        <v>3</v>
      </c>
      <c r="AV74">
        <v>0</v>
      </c>
      <c r="AW74">
        <v>2</v>
      </c>
      <c r="AX74">
        <v>34748725</v>
      </c>
      <c r="AY74">
        <v>1</v>
      </c>
      <c r="AZ74">
        <v>0</v>
      </c>
      <c r="BA74">
        <v>76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Y74*Source!I38</f>
        <v>1.3875000000000002</v>
      </c>
      <c r="CY74">
        <f>AA74</f>
        <v>1</v>
      </c>
      <c r="CZ74">
        <f>AE74</f>
        <v>1</v>
      </c>
      <c r="DA74">
        <f>AI74</f>
        <v>1</v>
      </c>
      <c r="DB74">
        <f t="shared" si="16"/>
        <v>1.85</v>
      </c>
      <c r="DC74">
        <f t="shared" si="17"/>
        <v>0</v>
      </c>
      <c r="DH74">
        <f>Source!I38*SmtRes!Y74</f>
        <v>1.3875000000000002</v>
      </c>
      <c r="DI74">
        <f>AA74</f>
        <v>1</v>
      </c>
      <c r="DJ74">
        <f>EtalonRes!Y76</f>
        <v>1</v>
      </c>
      <c r="DK74">
        <f>Source!BC38</f>
        <v>1</v>
      </c>
      <c r="GQ74">
        <v>-1</v>
      </c>
      <c r="GR74">
        <v>-1</v>
      </c>
    </row>
    <row r="75" spans="1:200" x14ac:dyDescent="0.2">
      <c r="A75">
        <f>ROW(Source!A39)</f>
        <v>39</v>
      </c>
      <c r="B75">
        <v>34748540</v>
      </c>
      <c r="C75">
        <v>34748723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255</v>
      </c>
      <c r="J75" t="s">
        <v>3</v>
      </c>
      <c r="K75" t="s">
        <v>256</v>
      </c>
      <c r="L75">
        <v>1191</v>
      </c>
      <c r="N75">
        <v>1013</v>
      </c>
      <c r="O75" t="s">
        <v>254</v>
      </c>
      <c r="P75" t="s">
        <v>254</v>
      </c>
      <c r="Q75">
        <v>1</v>
      </c>
      <c r="W75">
        <v>0</v>
      </c>
      <c r="X75">
        <v>1069510174</v>
      </c>
      <c r="Y75">
        <v>9.6</v>
      </c>
      <c r="AA75">
        <v>0</v>
      </c>
      <c r="AB75">
        <v>0</v>
      </c>
      <c r="AC75">
        <v>0</v>
      </c>
      <c r="AD75">
        <v>120.25</v>
      </c>
      <c r="AE75">
        <v>0</v>
      </c>
      <c r="AF75">
        <v>0</v>
      </c>
      <c r="AG75">
        <v>0</v>
      </c>
      <c r="AH75">
        <v>9.6199999999999992</v>
      </c>
      <c r="AI75">
        <v>1</v>
      </c>
      <c r="AJ75">
        <v>1</v>
      </c>
      <c r="AK75">
        <v>1</v>
      </c>
      <c r="AL75">
        <v>12.5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9.6</v>
      </c>
      <c r="AU75" t="s">
        <v>3</v>
      </c>
      <c r="AV75">
        <v>1</v>
      </c>
      <c r="AW75">
        <v>2</v>
      </c>
      <c r="AX75">
        <v>34748724</v>
      </c>
      <c r="AY75">
        <v>1</v>
      </c>
      <c r="AZ75">
        <v>0</v>
      </c>
      <c r="BA75">
        <v>77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7.1999999999999993</v>
      </c>
      <c r="CY75">
        <f>AD75</f>
        <v>120.25</v>
      </c>
      <c r="CZ75">
        <f>AH75</f>
        <v>9.6199999999999992</v>
      </c>
      <c r="DA75">
        <f>AL75</f>
        <v>12.5</v>
      </c>
      <c r="DB75">
        <f t="shared" si="16"/>
        <v>92.35</v>
      </c>
      <c r="DC75">
        <f t="shared" si="17"/>
        <v>0</v>
      </c>
      <c r="GQ75">
        <v>-1</v>
      </c>
      <c r="GR75">
        <v>-1</v>
      </c>
    </row>
    <row r="76" spans="1:200" x14ac:dyDescent="0.2">
      <c r="A76">
        <f>ROW(Source!A39)</f>
        <v>39</v>
      </c>
      <c r="B76">
        <v>34748540</v>
      </c>
      <c r="C76">
        <v>34748723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277</v>
      </c>
      <c r="J76" t="s">
        <v>3</v>
      </c>
      <c r="K76" t="s">
        <v>278</v>
      </c>
      <c r="L76">
        <v>1374</v>
      </c>
      <c r="N76">
        <v>1013</v>
      </c>
      <c r="O76" t="s">
        <v>279</v>
      </c>
      <c r="P76" t="s">
        <v>279</v>
      </c>
      <c r="Q76">
        <v>1</v>
      </c>
      <c r="W76">
        <v>0</v>
      </c>
      <c r="X76">
        <v>-1731369543</v>
      </c>
      <c r="Y76">
        <v>1.85</v>
      </c>
      <c r="AA76">
        <v>12.5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12.5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1.85</v>
      </c>
      <c r="AU76" t="s">
        <v>3</v>
      </c>
      <c r="AV76">
        <v>0</v>
      </c>
      <c r="AW76">
        <v>2</v>
      </c>
      <c r="AX76">
        <v>34748725</v>
      </c>
      <c r="AY76">
        <v>1</v>
      </c>
      <c r="AZ76">
        <v>0</v>
      </c>
      <c r="BA76">
        <v>78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1.3875000000000002</v>
      </c>
      <c r="CY76">
        <f>AA76</f>
        <v>12.5</v>
      </c>
      <c r="CZ76">
        <f>AE76</f>
        <v>1</v>
      </c>
      <c r="DA76">
        <f>AI76</f>
        <v>12.5</v>
      </c>
      <c r="DB76">
        <f t="shared" si="16"/>
        <v>1.85</v>
      </c>
      <c r="DC76">
        <f t="shared" si="17"/>
        <v>0</v>
      </c>
      <c r="DH76">
        <f>Source!I39*SmtRes!Y76</f>
        <v>1.3875000000000002</v>
      </c>
      <c r="DI76">
        <f>AA76</f>
        <v>12.5</v>
      </c>
      <c r="DJ76">
        <f>EtalonRes!Y78</f>
        <v>1</v>
      </c>
      <c r="DK76">
        <f>Source!BC39</f>
        <v>12.5</v>
      </c>
      <c r="GQ76">
        <v>-1</v>
      </c>
      <c r="GR76">
        <v>-1</v>
      </c>
    </row>
    <row r="77" spans="1:200" x14ac:dyDescent="0.2">
      <c r="A77">
        <f>ROW(Source!A40)</f>
        <v>40</v>
      </c>
      <c r="B77">
        <v>34748518</v>
      </c>
      <c r="C77">
        <v>34748728</v>
      </c>
      <c r="D77">
        <v>31709544</v>
      </c>
      <c r="E77">
        <v>1</v>
      </c>
      <c r="F77">
        <v>1</v>
      </c>
      <c r="G77">
        <v>1</v>
      </c>
      <c r="H77">
        <v>1</v>
      </c>
      <c r="I77" t="s">
        <v>321</v>
      </c>
      <c r="J77" t="s">
        <v>3</v>
      </c>
      <c r="K77" t="s">
        <v>322</v>
      </c>
      <c r="L77">
        <v>1191</v>
      </c>
      <c r="N77">
        <v>1013</v>
      </c>
      <c r="O77" t="s">
        <v>254</v>
      </c>
      <c r="P77" t="s">
        <v>254</v>
      </c>
      <c r="Q77">
        <v>1</v>
      </c>
      <c r="W77">
        <v>0</v>
      </c>
      <c r="X77">
        <v>145020957</v>
      </c>
      <c r="Y77">
        <v>42.5</v>
      </c>
      <c r="AA77">
        <v>0</v>
      </c>
      <c r="AB77">
        <v>0</v>
      </c>
      <c r="AC77">
        <v>0</v>
      </c>
      <c r="AD77">
        <v>9.07</v>
      </c>
      <c r="AE77">
        <v>0</v>
      </c>
      <c r="AF77">
        <v>0</v>
      </c>
      <c r="AG77">
        <v>0</v>
      </c>
      <c r="AH77">
        <v>9.07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42.5</v>
      </c>
      <c r="AU77" t="s">
        <v>3</v>
      </c>
      <c r="AV77">
        <v>1</v>
      </c>
      <c r="AW77">
        <v>2</v>
      </c>
      <c r="AX77">
        <v>34748729</v>
      </c>
      <c r="AY77">
        <v>1</v>
      </c>
      <c r="AZ77">
        <v>0</v>
      </c>
      <c r="BA77">
        <v>79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Y77*Source!I40</f>
        <v>4.2851474999999999</v>
      </c>
      <c r="CY77">
        <f>AD77</f>
        <v>9.07</v>
      </c>
      <c r="CZ77">
        <f>AH77</f>
        <v>9.07</v>
      </c>
      <c r="DA77">
        <f>AL77</f>
        <v>1</v>
      </c>
      <c r="DB77">
        <f t="shared" si="16"/>
        <v>385.48</v>
      </c>
      <c r="DC77">
        <f t="shared" si="17"/>
        <v>0</v>
      </c>
      <c r="GQ77">
        <v>-1</v>
      </c>
      <c r="GR77">
        <v>-1</v>
      </c>
    </row>
    <row r="78" spans="1:200" x14ac:dyDescent="0.2">
      <c r="A78">
        <f>ROW(Source!A40)</f>
        <v>40</v>
      </c>
      <c r="B78">
        <v>34748518</v>
      </c>
      <c r="C78">
        <v>34748728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257</v>
      </c>
      <c r="J78" t="s">
        <v>3</v>
      </c>
      <c r="K78" t="s">
        <v>258</v>
      </c>
      <c r="L78">
        <v>1191</v>
      </c>
      <c r="N78">
        <v>1013</v>
      </c>
      <c r="O78" t="s">
        <v>254</v>
      </c>
      <c r="P78" t="s">
        <v>254</v>
      </c>
      <c r="Q78">
        <v>1</v>
      </c>
      <c r="W78">
        <v>0</v>
      </c>
      <c r="X78">
        <v>-1417349443</v>
      </c>
      <c r="Y78">
        <v>1.74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1.74</v>
      </c>
      <c r="AU78" t="s">
        <v>3</v>
      </c>
      <c r="AV78">
        <v>2</v>
      </c>
      <c r="AW78">
        <v>2</v>
      </c>
      <c r="AX78">
        <v>34748730</v>
      </c>
      <c r="AY78">
        <v>1</v>
      </c>
      <c r="AZ78">
        <v>0</v>
      </c>
      <c r="BA78">
        <v>80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Y78*Source!I40</f>
        <v>0.17543897999999999</v>
      </c>
      <c r="CY78">
        <f>AD78</f>
        <v>0</v>
      </c>
      <c r="CZ78">
        <f>AH78</f>
        <v>0</v>
      </c>
      <c r="DA78">
        <f>AL78</f>
        <v>1</v>
      </c>
      <c r="DB78">
        <f t="shared" si="16"/>
        <v>0</v>
      </c>
      <c r="DC78">
        <f t="shared" si="17"/>
        <v>0</v>
      </c>
      <c r="GQ78">
        <v>-1</v>
      </c>
      <c r="GR78">
        <v>-1</v>
      </c>
    </row>
    <row r="79" spans="1:200" x14ac:dyDescent="0.2">
      <c r="A79">
        <f>ROW(Source!A40)</f>
        <v>40</v>
      </c>
      <c r="B79">
        <v>34748518</v>
      </c>
      <c r="C79">
        <v>34748728</v>
      </c>
      <c r="D79">
        <v>31526978</v>
      </c>
      <c r="E79">
        <v>1</v>
      </c>
      <c r="F79">
        <v>1</v>
      </c>
      <c r="G79">
        <v>1</v>
      </c>
      <c r="H79">
        <v>2</v>
      </c>
      <c r="I79" t="s">
        <v>323</v>
      </c>
      <c r="J79" t="s">
        <v>324</v>
      </c>
      <c r="K79" t="s">
        <v>325</v>
      </c>
      <c r="L79">
        <v>1368</v>
      </c>
      <c r="N79">
        <v>1011</v>
      </c>
      <c r="O79" t="s">
        <v>262</v>
      </c>
      <c r="P79" t="s">
        <v>262</v>
      </c>
      <c r="Q79">
        <v>1</v>
      </c>
      <c r="W79">
        <v>0</v>
      </c>
      <c r="X79">
        <v>1225731627</v>
      </c>
      <c r="Y79">
        <v>1.74</v>
      </c>
      <c r="AA79">
        <v>0</v>
      </c>
      <c r="AB79">
        <v>89.99</v>
      </c>
      <c r="AC79">
        <v>10.06</v>
      </c>
      <c r="AD79">
        <v>0</v>
      </c>
      <c r="AE79">
        <v>0</v>
      </c>
      <c r="AF79">
        <v>89.99</v>
      </c>
      <c r="AG79">
        <v>10.06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1.74</v>
      </c>
      <c r="AU79" t="s">
        <v>3</v>
      </c>
      <c r="AV79">
        <v>0</v>
      </c>
      <c r="AW79">
        <v>2</v>
      </c>
      <c r="AX79">
        <v>34748731</v>
      </c>
      <c r="AY79">
        <v>1</v>
      </c>
      <c r="AZ79">
        <v>0</v>
      </c>
      <c r="BA79">
        <v>81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Y79*Source!I40</f>
        <v>0.17543897999999999</v>
      </c>
      <c r="CY79">
        <f>AB79</f>
        <v>89.99</v>
      </c>
      <c r="CZ79">
        <f>AF79</f>
        <v>89.99</v>
      </c>
      <c r="DA79">
        <f>AJ79</f>
        <v>1</v>
      </c>
      <c r="DB79">
        <f t="shared" si="16"/>
        <v>156.58000000000001</v>
      </c>
      <c r="DC79">
        <f t="shared" si="17"/>
        <v>17.5</v>
      </c>
      <c r="GQ79">
        <v>-1</v>
      </c>
      <c r="GR79">
        <v>-1</v>
      </c>
    </row>
    <row r="80" spans="1:200" x14ac:dyDescent="0.2">
      <c r="A80">
        <f>ROW(Source!A40)</f>
        <v>40</v>
      </c>
      <c r="B80">
        <v>34748518</v>
      </c>
      <c r="C80">
        <v>34748728</v>
      </c>
      <c r="D80">
        <v>31449550</v>
      </c>
      <c r="E80">
        <v>1</v>
      </c>
      <c r="F80">
        <v>1</v>
      </c>
      <c r="G80">
        <v>1</v>
      </c>
      <c r="H80">
        <v>3</v>
      </c>
      <c r="I80" t="s">
        <v>326</v>
      </c>
      <c r="J80" t="s">
        <v>327</v>
      </c>
      <c r="K80" t="s">
        <v>328</v>
      </c>
      <c r="L80">
        <v>1348</v>
      </c>
      <c r="N80">
        <v>1009</v>
      </c>
      <c r="O80" t="s">
        <v>290</v>
      </c>
      <c r="P80" t="s">
        <v>290</v>
      </c>
      <c r="Q80">
        <v>1000</v>
      </c>
      <c r="W80">
        <v>0</v>
      </c>
      <c r="X80">
        <v>-775356503</v>
      </c>
      <c r="Y80">
        <v>1.39E-3</v>
      </c>
      <c r="AA80">
        <v>12430</v>
      </c>
      <c r="AB80">
        <v>0</v>
      </c>
      <c r="AC80">
        <v>0</v>
      </c>
      <c r="AD80">
        <v>0</v>
      </c>
      <c r="AE80">
        <v>12430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1.39E-3</v>
      </c>
      <c r="AU80" t="s">
        <v>3</v>
      </c>
      <c r="AV80">
        <v>0</v>
      </c>
      <c r="AW80">
        <v>2</v>
      </c>
      <c r="AX80">
        <v>34748732</v>
      </c>
      <c r="AY80">
        <v>1</v>
      </c>
      <c r="AZ80">
        <v>0</v>
      </c>
      <c r="BA80">
        <v>82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Y80*Source!I40</f>
        <v>1.4014953E-4</v>
      </c>
      <c r="CY80">
        <f>AA80</f>
        <v>12430</v>
      </c>
      <c r="CZ80">
        <f>AE80</f>
        <v>12430</v>
      </c>
      <c r="DA80">
        <f>AI80</f>
        <v>1</v>
      </c>
      <c r="DB80">
        <f t="shared" si="16"/>
        <v>17.28</v>
      </c>
      <c r="DC80">
        <f t="shared" si="17"/>
        <v>0</v>
      </c>
      <c r="DH80">
        <f>Source!I40*SmtRes!Y80</f>
        <v>1.4014953E-4</v>
      </c>
      <c r="DI80">
        <f>AA80</f>
        <v>12430</v>
      </c>
      <c r="DJ80">
        <f>EtalonRes!Y82</f>
        <v>12430</v>
      </c>
      <c r="DK80">
        <f>Source!BC40</f>
        <v>1</v>
      </c>
      <c r="GQ80">
        <v>-1</v>
      </c>
      <c r="GR80">
        <v>-1</v>
      </c>
    </row>
    <row r="81" spans="1:200" x14ac:dyDescent="0.2">
      <c r="A81">
        <f>ROW(Source!A40)</f>
        <v>40</v>
      </c>
      <c r="B81">
        <v>34748518</v>
      </c>
      <c r="C81">
        <v>34748728</v>
      </c>
      <c r="D81">
        <v>31451091</v>
      </c>
      <c r="E81">
        <v>1</v>
      </c>
      <c r="F81">
        <v>1</v>
      </c>
      <c r="G81">
        <v>1</v>
      </c>
      <c r="H81">
        <v>3</v>
      </c>
      <c r="I81" t="s">
        <v>329</v>
      </c>
      <c r="J81" t="s">
        <v>330</v>
      </c>
      <c r="K81" t="s">
        <v>331</v>
      </c>
      <c r="L81">
        <v>1348</v>
      </c>
      <c r="N81">
        <v>1009</v>
      </c>
      <c r="O81" t="s">
        <v>290</v>
      </c>
      <c r="P81" t="s">
        <v>290</v>
      </c>
      <c r="Q81">
        <v>1000</v>
      </c>
      <c r="W81">
        <v>0</v>
      </c>
      <c r="X81">
        <v>-1421715385</v>
      </c>
      <c r="Y81">
        <v>3.3E-3</v>
      </c>
      <c r="AA81">
        <v>729.98</v>
      </c>
      <c r="AB81">
        <v>0</v>
      </c>
      <c r="AC81">
        <v>0</v>
      </c>
      <c r="AD81">
        <v>0</v>
      </c>
      <c r="AE81">
        <v>729.98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3.3E-3</v>
      </c>
      <c r="AU81" t="s">
        <v>3</v>
      </c>
      <c r="AV81">
        <v>0</v>
      </c>
      <c r="AW81">
        <v>2</v>
      </c>
      <c r="AX81">
        <v>34748733</v>
      </c>
      <c r="AY81">
        <v>1</v>
      </c>
      <c r="AZ81">
        <v>0</v>
      </c>
      <c r="BA81">
        <v>83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Y81*Source!I40</f>
        <v>3.3272910000000001E-4</v>
      </c>
      <c r="CY81">
        <f>AA81</f>
        <v>729.98</v>
      </c>
      <c r="CZ81">
        <f>AE81</f>
        <v>729.98</v>
      </c>
      <c r="DA81">
        <f>AI81</f>
        <v>1</v>
      </c>
      <c r="DB81">
        <f t="shared" si="16"/>
        <v>2.41</v>
      </c>
      <c r="DC81">
        <f t="shared" si="17"/>
        <v>0</v>
      </c>
      <c r="DH81">
        <f>Source!I40*SmtRes!Y81</f>
        <v>3.3272910000000001E-4</v>
      </c>
      <c r="DI81">
        <f>AA81</f>
        <v>729.98</v>
      </c>
      <c r="DJ81">
        <f>EtalonRes!Y83</f>
        <v>729.98</v>
      </c>
      <c r="DK81">
        <f>Source!BC40</f>
        <v>1</v>
      </c>
      <c r="GQ81">
        <v>-1</v>
      </c>
      <c r="GR81">
        <v>-1</v>
      </c>
    </row>
    <row r="82" spans="1:200" x14ac:dyDescent="0.2">
      <c r="A82">
        <f>ROW(Source!A40)</f>
        <v>40</v>
      </c>
      <c r="B82">
        <v>34748518</v>
      </c>
      <c r="C82">
        <v>34748728</v>
      </c>
      <c r="D82">
        <v>31470212</v>
      </c>
      <c r="E82">
        <v>1</v>
      </c>
      <c r="F82">
        <v>1</v>
      </c>
      <c r="G82">
        <v>1</v>
      </c>
      <c r="H82">
        <v>3</v>
      </c>
      <c r="I82" t="s">
        <v>332</v>
      </c>
      <c r="J82" t="s">
        <v>333</v>
      </c>
      <c r="K82" t="s">
        <v>334</v>
      </c>
      <c r="L82">
        <v>1348</v>
      </c>
      <c r="N82">
        <v>1009</v>
      </c>
      <c r="O82" t="s">
        <v>290</v>
      </c>
      <c r="P82" t="s">
        <v>290</v>
      </c>
      <c r="Q82">
        <v>1000</v>
      </c>
      <c r="W82">
        <v>0</v>
      </c>
      <c r="X82">
        <v>-480376383</v>
      </c>
      <c r="Y82">
        <v>3.6000000000000002E-4</v>
      </c>
      <c r="AA82">
        <v>10200</v>
      </c>
      <c r="AB82">
        <v>0</v>
      </c>
      <c r="AC82">
        <v>0</v>
      </c>
      <c r="AD82">
        <v>0</v>
      </c>
      <c r="AE82">
        <v>10200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3.6000000000000002E-4</v>
      </c>
      <c r="AU82" t="s">
        <v>3</v>
      </c>
      <c r="AV82">
        <v>0</v>
      </c>
      <c r="AW82">
        <v>2</v>
      </c>
      <c r="AX82">
        <v>34748734</v>
      </c>
      <c r="AY82">
        <v>1</v>
      </c>
      <c r="AZ82">
        <v>0</v>
      </c>
      <c r="BA82">
        <v>84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Y82*Source!I40</f>
        <v>3.6297720000000005E-5</v>
      </c>
      <c r="CY82">
        <f>AA82</f>
        <v>10200</v>
      </c>
      <c r="CZ82">
        <f>AE82</f>
        <v>10200</v>
      </c>
      <c r="DA82">
        <f>AI82</f>
        <v>1</v>
      </c>
      <c r="DB82">
        <f t="shared" si="16"/>
        <v>3.67</v>
      </c>
      <c r="DC82">
        <f t="shared" si="17"/>
        <v>0</v>
      </c>
      <c r="DH82">
        <f>Source!I40*SmtRes!Y82</f>
        <v>3.6297720000000005E-5</v>
      </c>
      <c r="DI82">
        <f>AA82</f>
        <v>10200</v>
      </c>
      <c r="DJ82">
        <f>EtalonRes!Y84</f>
        <v>10200</v>
      </c>
      <c r="DK82">
        <f>Source!BC40</f>
        <v>1</v>
      </c>
      <c r="GQ82">
        <v>-1</v>
      </c>
      <c r="GR82">
        <v>-1</v>
      </c>
    </row>
    <row r="83" spans="1:200" x14ac:dyDescent="0.2">
      <c r="A83">
        <f>ROW(Source!A40)</f>
        <v>40</v>
      </c>
      <c r="B83">
        <v>34748518</v>
      </c>
      <c r="C83">
        <v>34748728</v>
      </c>
      <c r="D83">
        <v>31505175</v>
      </c>
      <c r="E83">
        <v>1</v>
      </c>
      <c r="F83">
        <v>1</v>
      </c>
      <c r="G83">
        <v>1</v>
      </c>
      <c r="H83">
        <v>3</v>
      </c>
      <c r="I83" t="s">
        <v>335</v>
      </c>
      <c r="J83" t="s">
        <v>336</v>
      </c>
      <c r="K83" t="s">
        <v>337</v>
      </c>
      <c r="L83">
        <v>1355</v>
      </c>
      <c r="N83">
        <v>1010</v>
      </c>
      <c r="O83" t="s">
        <v>320</v>
      </c>
      <c r="P83" t="s">
        <v>320</v>
      </c>
      <c r="Q83">
        <v>100</v>
      </c>
      <c r="W83">
        <v>0</v>
      </c>
      <c r="X83">
        <v>-1886339978</v>
      </c>
      <c r="Y83">
        <v>3.12</v>
      </c>
      <c r="AA83">
        <v>155.74</v>
      </c>
      <c r="AB83">
        <v>0</v>
      </c>
      <c r="AC83">
        <v>0</v>
      </c>
      <c r="AD83">
        <v>0</v>
      </c>
      <c r="AE83">
        <v>155.74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3.12</v>
      </c>
      <c r="AU83" t="s">
        <v>3</v>
      </c>
      <c r="AV83">
        <v>0</v>
      </c>
      <c r="AW83">
        <v>2</v>
      </c>
      <c r="AX83">
        <v>34748735</v>
      </c>
      <c r="AY83">
        <v>1</v>
      </c>
      <c r="AZ83">
        <v>0</v>
      </c>
      <c r="BA83">
        <v>85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Y83*Source!I40</f>
        <v>0.31458024000000001</v>
      </c>
      <c r="CY83">
        <f>AA83</f>
        <v>155.74</v>
      </c>
      <c r="CZ83">
        <f>AE83</f>
        <v>155.74</v>
      </c>
      <c r="DA83">
        <f>AI83</f>
        <v>1</v>
      </c>
      <c r="DB83">
        <f t="shared" si="16"/>
        <v>485.91</v>
      </c>
      <c r="DC83">
        <f t="shared" si="17"/>
        <v>0</v>
      </c>
      <c r="DH83">
        <f>Source!I40*SmtRes!Y83</f>
        <v>0.31458024000000001</v>
      </c>
      <c r="DI83">
        <f>AA83</f>
        <v>155.74</v>
      </c>
      <c r="DJ83">
        <f>EtalonRes!Y85</f>
        <v>155.74</v>
      </c>
      <c r="DK83">
        <f>Source!BC40</f>
        <v>1</v>
      </c>
      <c r="GQ83">
        <v>-1</v>
      </c>
      <c r="GR83">
        <v>-1</v>
      </c>
    </row>
    <row r="84" spans="1:200" x14ac:dyDescent="0.2">
      <c r="A84">
        <f>ROW(Source!A40)</f>
        <v>40</v>
      </c>
      <c r="B84">
        <v>34748518</v>
      </c>
      <c r="C84">
        <v>34748728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277</v>
      </c>
      <c r="J84" t="s">
        <v>3</v>
      </c>
      <c r="K84" t="s">
        <v>278</v>
      </c>
      <c r="L84">
        <v>1374</v>
      </c>
      <c r="N84">
        <v>1013</v>
      </c>
      <c r="O84" t="s">
        <v>279</v>
      </c>
      <c r="P84" t="s">
        <v>279</v>
      </c>
      <c r="Q84">
        <v>1</v>
      </c>
      <c r="W84">
        <v>0</v>
      </c>
      <c r="X84">
        <v>-1731369543</v>
      </c>
      <c r="Y84">
        <v>7.71</v>
      </c>
      <c r="AA84">
        <v>1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7.71</v>
      </c>
      <c r="AU84" t="s">
        <v>3</v>
      </c>
      <c r="AV84">
        <v>0</v>
      </c>
      <c r="AW84">
        <v>2</v>
      </c>
      <c r="AX84">
        <v>34748736</v>
      </c>
      <c r="AY84">
        <v>1</v>
      </c>
      <c r="AZ84">
        <v>0</v>
      </c>
      <c r="BA84">
        <v>86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Y84*Source!I40</f>
        <v>0.77737617000000003</v>
      </c>
      <c r="CY84">
        <f>AA84</f>
        <v>1</v>
      </c>
      <c r="CZ84">
        <f>AE84</f>
        <v>1</v>
      </c>
      <c r="DA84">
        <f>AI84</f>
        <v>1</v>
      </c>
      <c r="DB84">
        <f t="shared" si="16"/>
        <v>7.71</v>
      </c>
      <c r="DC84">
        <f t="shared" si="17"/>
        <v>0</v>
      </c>
      <c r="DH84">
        <f>Source!I40*SmtRes!Y84</f>
        <v>0.77737617000000003</v>
      </c>
      <c r="DI84">
        <f>AA84</f>
        <v>1</v>
      </c>
      <c r="DJ84">
        <f>EtalonRes!Y86</f>
        <v>1</v>
      </c>
      <c r="DK84">
        <f>Source!BC40</f>
        <v>1</v>
      </c>
      <c r="GQ84">
        <v>-1</v>
      </c>
      <c r="GR84">
        <v>-1</v>
      </c>
    </row>
    <row r="85" spans="1:200" x14ac:dyDescent="0.2">
      <c r="A85">
        <f>ROW(Source!A41)</f>
        <v>41</v>
      </c>
      <c r="B85">
        <v>34748540</v>
      </c>
      <c r="C85">
        <v>34748728</v>
      </c>
      <c r="D85">
        <v>31709544</v>
      </c>
      <c r="E85">
        <v>1</v>
      </c>
      <c r="F85">
        <v>1</v>
      </c>
      <c r="G85">
        <v>1</v>
      </c>
      <c r="H85">
        <v>1</v>
      </c>
      <c r="I85" t="s">
        <v>321</v>
      </c>
      <c r="J85" t="s">
        <v>3</v>
      </c>
      <c r="K85" t="s">
        <v>322</v>
      </c>
      <c r="L85">
        <v>1191</v>
      </c>
      <c r="N85">
        <v>1013</v>
      </c>
      <c r="O85" t="s">
        <v>254</v>
      </c>
      <c r="P85" t="s">
        <v>254</v>
      </c>
      <c r="Q85">
        <v>1</v>
      </c>
      <c r="W85">
        <v>0</v>
      </c>
      <c r="X85">
        <v>145020957</v>
      </c>
      <c r="Y85">
        <v>42.5</v>
      </c>
      <c r="AA85">
        <v>0</v>
      </c>
      <c r="AB85">
        <v>0</v>
      </c>
      <c r="AC85">
        <v>0</v>
      </c>
      <c r="AD85">
        <v>113.38</v>
      </c>
      <c r="AE85">
        <v>0</v>
      </c>
      <c r="AF85">
        <v>0</v>
      </c>
      <c r="AG85">
        <v>0</v>
      </c>
      <c r="AH85">
        <v>9.07</v>
      </c>
      <c r="AI85">
        <v>1</v>
      </c>
      <c r="AJ85">
        <v>1</v>
      </c>
      <c r="AK85">
        <v>1</v>
      </c>
      <c r="AL85">
        <v>12.5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42.5</v>
      </c>
      <c r="AU85" t="s">
        <v>3</v>
      </c>
      <c r="AV85">
        <v>1</v>
      </c>
      <c r="AW85">
        <v>2</v>
      </c>
      <c r="AX85">
        <v>34748729</v>
      </c>
      <c r="AY85">
        <v>1</v>
      </c>
      <c r="AZ85">
        <v>0</v>
      </c>
      <c r="BA85">
        <v>87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Y85*Source!I41</f>
        <v>4.2851474999999999</v>
      </c>
      <c r="CY85">
        <f>AD85</f>
        <v>113.38</v>
      </c>
      <c r="CZ85">
        <f>AH85</f>
        <v>9.07</v>
      </c>
      <c r="DA85">
        <f>AL85</f>
        <v>12.5</v>
      </c>
      <c r="DB85">
        <f t="shared" si="16"/>
        <v>385.48</v>
      </c>
      <c r="DC85">
        <f t="shared" si="17"/>
        <v>0</v>
      </c>
      <c r="GQ85">
        <v>-1</v>
      </c>
      <c r="GR85">
        <v>-1</v>
      </c>
    </row>
    <row r="86" spans="1:200" x14ac:dyDescent="0.2">
      <c r="A86">
        <f>ROW(Source!A41)</f>
        <v>41</v>
      </c>
      <c r="B86">
        <v>34748540</v>
      </c>
      <c r="C86">
        <v>34748728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257</v>
      </c>
      <c r="J86" t="s">
        <v>3</v>
      </c>
      <c r="K86" t="s">
        <v>258</v>
      </c>
      <c r="L86">
        <v>1191</v>
      </c>
      <c r="N86">
        <v>1013</v>
      </c>
      <c r="O86" t="s">
        <v>254</v>
      </c>
      <c r="P86" t="s">
        <v>254</v>
      </c>
      <c r="Q86">
        <v>1</v>
      </c>
      <c r="W86">
        <v>0</v>
      </c>
      <c r="X86">
        <v>-1417349443</v>
      </c>
      <c r="Y86">
        <v>1.74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12.5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1.74</v>
      </c>
      <c r="AU86" t="s">
        <v>3</v>
      </c>
      <c r="AV86">
        <v>2</v>
      </c>
      <c r="AW86">
        <v>2</v>
      </c>
      <c r="AX86">
        <v>34748730</v>
      </c>
      <c r="AY86">
        <v>1</v>
      </c>
      <c r="AZ86">
        <v>0</v>
      </c>
      <c r="BA86">
        <v>88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Y86*Source!I41</f>
        <v>0.17543897999999999</v>
      </c>
      <c r="CY86">
        <f>AD86</f>
        <v>0</v>
      </c>
      <c r="CZ86">
        <f>AH86</f>
        <v>0</v>
      </c>
      <c r="DA86">
        <f>AL86</f>
        <v>1</v>
      </c>
      <c r="DB86">
        <f t="shared" si="16"/>
        <v>0</v>
      </c>
      <c r="DC86">
        <f t="shared" si="17"/>
        <v>0</v>
      </c>
      <c r="GQ86">
        <v>-1</v>
      </c>
      <c r="GR86">
        <v>-1</v>
      </c>
    </row>
    <row r="87" spans="1:200" x14ac:dyDescent="0.2">
      <c r="A87">
        <f>ROW(Source!A41)</f>
        <v>41</v>
      </c>
      <c r="B87">
        <v>34748540</v>
      </c>
      <c r="C87">
        <v>34748728</v>
      </c>
      <c r="D87">
        <v>31526978</v>
      </c>
      <c r="E87">
        <v>1</v>
      </c>
      <c r="F87">
        <v>1</v>
      </c>
      <c r="G87">
        <v>1</v>
      </c>
      <c r="H87">
        <v>2</v>
      </c>
      <c r="I87" t="s">
        <v>323</v>
      </c>
      <c r="J87" t="s">
        <v>324</v>
      </c>
      <c r="K87" t="s">
        <v>325</v>
      </c>
      <c r="L87">
        <v>1368</v>
      </c>
      <c r="N87">
        <v>1011</v>
      </c>
      <c r="O87" t="s">
        <v>262</v>
      </c>
      <c r="P87" t="s">
        <v>262</v>
      </c>
      <c r="Q87">
        <v>1</v>
      </c>
      <c r="W87">
        <v>0</v>
      </c>
      <c r="X87">
        <v>1225731627</v>
      </c>
      <c r="Y87">
        <v>1.74</v>
      </c>
      <c r="AA87">
        <v>0</v>
      </c>
      <c r="AB87">
        <v>1124.8800000000001</v>
      </c>
      <c r="AC87">
        <v>10.06</v>
      </c>
      <c r="AD87">
        <v>0</v>
      </c>
      <c r="AE87">
        <v>0</v>
      </c>
      <c r="AF87">
        <v>89.99</v>
      </c>
      <c r="AG87">
        <v>10.06</v>
      </c>
      <c r="AH87">
        <v>0</v>
      </c>
      <c r="AI87">
        <v>1</v>
      </c>
      <c r="AJ87">
        <v>12.5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1.74</v>
      </c>
      <c r="AU87" t="s">
        <v>3</v>
      </c>
      <c r="AV87">
        <v>0</v>
      </c>
      <c r="AW87">
        <v>2</v>
      </c>
      <c r="AX87">
        <v>34748731</v>
      </c>
      <c r="AY87">
        <v>1</v>
      </c>
      <c r="AZ87">
        <v>0</v>
      </c>
      <c r="BA87">
        <v>89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Y87*Source!I41</f>
        <v>0.17543897999999999</v>
      </c>
      <c r="CY87">
        <f>AB87</f>
        <v>1124.8800000000001</v>
      </c>
      <c r="CZ87">
        <f>AF87</f>
        <v>89.99</v>
      </c>
      <c r="DA87">
        <f>AJ87</f>
        <v>12.5</v>
      </c>
      <c r="DB87">
        <f t="shared" si="16"/>
        <v>156.58000000000001</v>
      </c>
      <c r="DC87">
        <f t="shared" si="17"/>
        <v>17.5</v>
      </c>
      <c r="GQ87">
        <v>-1</v>
      </c>
      <c r="GR87">
        <v>-1</v>
      </c>
    </row>
    <row r="88" spans="1:200" x14ac:dyDescent="0.2">
      <c r="A88">
        <f>ROW(Source!A41)</f>
        <v>41</v>
      </c>
      <c r="B88">
        <v>34748540</v>
      </c>
      <c r="C88">
        <v>34748728</v>
      </c>
      <c r="D88">
        <v>31449550</v>
      </c>
      <c r="E88">
        <v>1</v>
      </c>
      <c r="F88">
        <v>1</v>
      </c>
      <c r="G88">
        <v>1</v>
      </c>
      <c r="H88">
        <v>3</v>
      </c>
      <c r="I88" t="s">
        <v>326</v>
      </c>
      <c r="J88" t="s">
        <v>327</v>
      </c>
      <c r="K88" t="s">
        <v>328</v>
      </c>
      <c r="L88">
        <v>1348</v>
      </c>
      <c r="N88">
        <v>1009</v>
      </c>
      <c r="O88" t="s">
        <v>290</v>
      </c>
      <c r="P88" t="s">
        <v>290</v>
      </c>
      <c r="Q88">
        <v>1000</v>
      </c>
      <c r="W88">
        <v>0</v>
      </c>
      <c r="X88">
        <v>-775356503</v>
      </c>
      <c r="Y88">
        <v>1.39E-3</v>
      </c>
      <c r="AA88">
        <v>155375</v>
      </c>
      <c r="AB88">
        <v>0</v>
      </c>
      <c r="AC88">
        <v>0</v>
      </c>
      <c r="AD88">
        <v>0</v>
      </c>
      <c r="AE88">
        <v>12430</v>
      </c>
      <c r="AF88">
        <v>0</v>
      </c>
      <c r="AG88">
        <v>0</v>
      </c>
      <c r="AH88">
        <v>0</v>
      </c>
      <c r="AI88">
        <v>12.5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1.39E-3</v>
      </c>
      <c r="AU88" t="s">
        <v>3</v>
      </c>
      <c r="AV88">
        <v>0</v>
      </c>
      <c r="AW88">
        <v>2</v>
      </c>
      <c r="AX88">
        <v>34748732</v>
      </c>
      <c r="AY88">
        <v>1</v>
      </c>
      <c r="AZ88">
        <v>0</v>
      </c>
      <c r="BA88">
        <v>90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Y88*Source!I41</f>
        <v>1.4014953E-4</v>
      </c>
      <c r="CY88">
        <f>AA88</f>
        <v>155375</v>
      </c>
      <c r="CZ88">
        <f>AE88</f>
        <v>12430</v>
      </c>
      <c r="DA88">
        <f>AI88</f>
        <v>12.5</v>
      </c>
      <c r="DB88">
        <f t="shared" si="16"/>
        <v>17.28</v>
      </c>
      <c r="DC88">
        <f t="shared" si="17"/>
        <v>0</v>
      </c>
      <c r="DH88">
        <f>Source!I41*SmtRes!Y88</f>
        <v>1.4014953E-4</v>
      </c>
      <c r="DI88">
        <f>AA88</f>
        <v>155375</v>
      </c>
      <c r="DJ88">
        <f>EtalonRes!Y90</f>
        <v>12430</v>
      </c>
      <c r="DK88">
        <f>Source!BC41</f>
        <v>12.5</v>
      </c>
      <c r="GQ88">
        <v>-1</v>
      </c>
      <c r="GR88">
        <v>-1</v>
      </c>
    </row>
    <row r="89" spans="1:200" x14ac:dyDescent="0.2">
      <c r="A89">
        <f>ROW(Source!A41)</f>
        <v>41</v>
      </c>
      <c r="B89">
        <v>34748540</v>
      </c>
      <c r="C89">
        <v>34748728</v>
      </c>
      <c r="D89">
        <v>31451091</v>
      </c>
      <c r="E89">
        <v>1</v>
      </c>
      <c r="F89">
        <v>1</v>
      </c>
      <c r="G89">
        <v>1</v>
      </c>
      <c r="H89">
        <v>3</v>
      </c>
      <c r="I89" t="s">
        <v>329</v>
      </c>
      <c r="J89" t="s">
        <v>330</v>
      </c>
      <c r="K89" t="s">
        <v>331</v>
      </c>
      <c r="L89">
        <v>1348</v>
      </c>
      <c r="N89">
        <v>1009</v>
      </c>
      <c r="O89" t="s">
        <v>290</v>
      </c>
      <c r="P89" t="s">
        <v>290</v>
      </c>
      <c r="Q89">
        <v>1000</v>
      </c>
      <c r="W89">
        <v>0</v>
      </c>
      <c r="X89">
        <v>-1421715385</v>
      </c>
      <c r="Y89">
        <v>3.3E-3</v>
      </c>
      <c r="AA89">
        <v>9124.75</v>
      </c>
      <c r="AB89">
        <v>0</v>
      </c>
      <c r="AC89">
        <v>0</v>
      </c>
      <c r="AD89">
        <v>0</v>
      </c>
      <c r="AE89">
        <v>729.98</v>
      </c>
      <c r="AF89">
        <v>0</v>
      </c>
      <c r="AG89">
        <v>0</v>
      </c>
      <c r="AH89">
        <v>0</v>
      </c>
      <c r="AI89">
        <v>12.5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3.3E-3</v>
      </c>
      <c r="AU89" t="s">
        <v>3</v>
      </c>
      <c r="AV89">
        <v>0</v>
      </c>
      <c r="AW89">
        <v>2</v>
      </c>
      <c r="AX89">
        <v>34748733</v>
      </c>
      <c r="AY89">
        <v>1</v>
      </c>
      <c r="AZ89">
        <v>0</v>
      </c>
      <c r="BA89">
        <v>91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Y89*Source!I41</f>
        <v>3.3272910000000001E-4</v>
      </c>
      <c r="CY89">
        <f>AA89</f>
        <v>9124.75</v>
      </c>
      <c r="CZ89">
        <f>AE89</f>
        <v>729.98</v>
      </c>
      <c r="DA89">
        <f>AI89</f>
        <v>12.5</v>
      </c>
      <c r="DB89">
        <f t="shared" si="16"/>
        <v>2.41</v>
      </c>
      <c r="DC89">
        <f t="shared" si="17"/>
        <v>0</v>
      </c>
      <c r="DH89">
        <f>Source!I41*SmtRes!Y89</f>
        <v>3.3272910000000001E-4</v>
      </c>
      <c r="DI89">
        <f>AA89</f>
        <v>9124.75</v>
      </c>
      <c r="DJ89">
        <f>EtalonRes!Y91</f>
        <v>729.98</v>
      </c>
      <c r="DK89">
        <f>Source!BC41</f>
        <v>12.5</v>
      </c>
      <c r="GQ89">
        <v>-1</v>
      </c>
      <c r="GR89">
        <v>-1</v>
      </c>
    </row>
    <row r="90" spans="1:200" x14ac:dyDescent="0.2">
      <c r="A90">
        <f>ROW(Source!A41)</f>
        <v>41</v>
      </c>
      <c r="B90">
        <v>34748540</v>
      </c>
      <c r="C90">
        <v>34748728</v>
      </c>
      <c r="D90">
        <v>31470212</v>
      </c>
      <c r="E90">
        <v>1</v>
      </c>
      <c r="F90">
        <v>1</v>
      </c>
      <c r="G90">
        <v>1</v>
      </c>
      <c r="H90">
        <v>3</v>
      </c>
      <c r="I90" t="s">
        <v>332</v>
      </c>
      <c r="J90" t="s">
        <v>333</v>
      </c>
      <c r="K90" t="s">
        <v>334</v>
      </c>
      <c r="L90">
        <v>1348</v>
      </c>
      <c r="N90">
        <v>1009</v>
      </c>
      <c r="O90" t="s">
        <v>290</v>
      </c>
      <c r="P90" t="s">
        <v>290</v>
      </c>
      <c r="Q90">
        <v>1000</v>
      </c>
      <c r="W90">
        <v>0</v>
      </c>
      <c r="X90">
        <v>-480376383</v>
      </c>
      <c r="Y90">
        <v>3.6000000000000002E-4</v>
      </c>
      <c r="AA90">
        <v>127500</v>
      </c>
      <c r="AB90">
        <v>0</v>
      </c>
      <c r="AC90">
        <v>0</v>
      </c>
      <c r="AD90">
        <v>0</v>
      </c>
      <c r="AE90">
        <v>10200</v>
      </c>
      <c r="AF90">
        <v>0</v>
      </c>
      <c r="AG90">
        <v>0</v>
      </c>
      <c r="AH90">
        <v>0</v>
      </c>
      <c r="AI90">
        <v>12.5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3.6000000000000002E-4</v>
      </c>
      <c r="AU90" t="s">
        <v>3</v>
      </c>
      <c r="AV90">
        <v>0</v>
      </c>
      <c r="AW90">
        <v>2</v>
      </c>
      <c r="AX90">
        <v>34748734</v>
      </c>
      <c r="AY90">
        <v>1</v>
      </c>
      <c r="AZ90">
        <v>0</v>
      </c>
      <c r="BA90">
        <v>92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Y90*Source!I41</f>
        <v>3.6297720000000005E-5</v>
      </c>
      <c r="CY90">
        <f>AA90</f>
        <v>127500</v>
      </c>
      <c r="CZ90">
        <f>AE90</f>
        <v>10200</v>
      </c>
      <c r="DA90">
        <f>AI90</f>
        <v>12.5</v>
      </c>
      <c r="DB90">
        <f t="shared" si="16"/>
        <v>3.67</v>
      </c>
      <c r="DC90">
        <f t="shared" si="17"/>
        <v>0</v>
      </c>
      <c r="DH90">
        <f>Source!I41*SmtRes!Y90</f>
        <v>3.6297720000000005E-5</v>
      </c>
      <c r="DI90">
        <f>AA90</f>
        <v>127500</v>
      </c>
      <c r="DJ90">
        <f>EtalonRes!Y92</f>
        <v>10200</v>
      </c>
      <c r="DK90">
        <f>Source!BC41</f>
        <v>12.5</v>
      </c>
      <c r="GQ90">
        <v>-1</v>
      </c>
      <c r="GR90">
        <v>-1</v>
      </c>
    </row>
    <row r="91" spans="1:200" x14ac:dyDescent="0.2">
      <c r="A91">
        <f>ROW(Source!A41)</f>
        <v>41</v>
      </c>
      <c r="B91">
        <v>34748540</v>
      </c>
      <c r="C91">
        <v>34748728</v>
      </c>
      <c r="D91">
        <v>31505175</v>
      </c>
      <c r="E91">
        <v>1</v>
      </c>
      <c r="F91">
        <v>1</v>
      </c>
      <c r="G91">
        <v>1</v>
      </c>
      <c r="H91">
        <v>3</v>
      </c>
      <c r="I91" t="s">
        <v>335</v>
      </c>
      <c r="J91" t="s">
        <v>336</v>
      </c>
      <c r="K91" t="s">
        <v>337</v>
      </c>
      <c r="L91">
        <v>1355</v>
      </c>
      <c r="N91">
        <v>1010</v>
      </c>
      <c r="O91" t="s">
        <v>320</v>
      </c>
      <c r="P91" t="s">
        <v>320</v>
      </c>
      <c r="Q91">
        <v>100</v>
      </c>
      <c r="W91">
        <v>0</v>
      </c>
      <c r="X91">
        <v>-1886339978</v>
      </c>
      <c r="Y91">
        <v>3.12</v>
      </c>
      <c r="AA91">
        <v>1946.75</v>
      </c>
      <c r="AB91">
        <v>0</v>
      </c>
      <c r="AC91">
        <v>0</v>
      </c>
      <c r="AD91">
        <v>0</v>
      </c>
      <c r="AE91">
        <v>155.74</v>
      </c>
      <c r="AF91">
        <v>0</v>
      </c>
      <c r="AG91">
        <v>0</v>
      </c>
      <c r="AH91">
        <v>0</v>
      </c>
      <c r="AI91">
        <v>12.5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3.12</v>
      </c>
      <c r="AU91" t="s">
        <v>3</v>
      </c>
      <c r="AV91">
        <v>0</v>
      </c>
      <c r="AW91">
        <v>2</v>
      </c>
      <c r="AX91">
        <v>34748735</v>
      </c>
      <c r="AY91">
        <v>1</v>
      </c>
      <c r="AZ91">
        <v>0</v>
      </c>
      <c r="BA91">
        <v>93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Y91*Source!I41</f>
        <v>0.31458024000000001</v>
      </c>
      <c r="CY91">
        <f>AA91</f>
        <v>1946.75</v>
      </c>
      <c r="CZ91">
        <f>AE91</f>
        <v>155.74</v>
      </c>
      <c r="DA91">
        <f>AI91</f>
        <v>12.5</v>
      </c>
      <c r="DB91">
        <f t="shared" si="16"/>
        <v>485.91</v>
      </c>
      <c r="DC91">
        <f t="shared" si="17"/>
        <v>0</v>
      </c>
      <c r="DH91">
        <f>Source!I41*SmtRes!Y91</f>
        <v>0.31458024000000001</v>
      </c>
      <c r="DI91">
        <f>AA91</f>
        <v>1946.75</v>
      </c>
      <c r="DJ91">
        <f>EtalonRes!Y93</f>
        <v>155.74</v>
      </c>
      <c r="DK91">
        <f>Source!BC41</f>
        <v>12.5</v>
      </c>
      <c r="GQ91">
        <v>-1</v>
      </c>
      <c r="GR91">
        <v>-1</v>
      </c>
    </row>
    <row r="92" spans="1:200" x14ac:dyDescent="0.2">
      <c r="A92">
        <f>ROW(Source!A41)</f>
        <v>41</v>
      </c>
      <c r="B92">
        <v>34748540</v>
      </c>
      <c r="C92">
        <v>34748728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277</v>
      </c>
      <c r="J92" t="s">
        <v>3</v>
      </c>
      <c r="K92" t="s">
        <v>278</v>
      </c>
      <c r="L92">
        <v>1374</v>
      </c>
      <c r="N92">
        <v>1013</v>
      </c>
      <c r="O92" t="s">
        <v>279</v>
      </c>
      <c r="P92" t="s">
        <v>279</v>
      </c>
      <c r="Q92">
        <v>1</v>
      </c>
      <c r="W92">
        <v>0</v>
      </c>
      <c r="X92">
        <v>-1731369543</v>
      </c>
      <c r="Y92">
        <v>7.71</v>
      </c>
      <c r="AA92">
        <v>12.5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12.5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7.71</v>
      </c>
      <c r="AU92" t="s">
        <v>3</v>
      </c>
      <c r="AV92">
        <v>0</v>
      </c>
      <c r="AW92">
        <v>2</v>
      </c>
      <c r="AX92">
        <v>34748736</v>
      </c>
      <c r="AY92">
        <v>1</v>
      </c>
      <c r="AZ92">
        <v>0</v>
      </c>
      <c r="BA92">
        <v>94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Y92*Source!I41</f>
        <v>0.77737617000000003</v>
      </c>
      <c r="CY92">
        <f>AA92</f>
        <v>12.5</v>
      </c>
      <c r="CZ92">
        <f>AE92</f>
        <v>1</v>
      </c>
      <c r="DA92">
        <f>AI92</f>
        <v>12.5</v>
      </c>
      <c r="DB92">
        <f t="shared" si="16"/>
        <v>7.71</v>
      </c>
      <c r="DC92">
        <f t="shared" si="17"/>
        <v>0</v>
      </c>
      <c r="DH92">
        <f>Source!I41*SmtRes!Y92</f>
        <v>0.77737617000000003</v>
      </c>
      <c r="DI92">
        <f>AA92</f>
        <v>12.5</v>
      </c>
      <c r="DJ92">
        <f>EtalonRes!Y94</f>
        <v>1</v>
      </c>
      <c r="DK92">
        <f>Source!BC41</f>
        <v>12.5</v>
      </c>
      <c r="GQ92">
        <v>-1</v>
      </c>
      <c r="GR92">
        <v>-1</v>
      </c>
    </row>
    <row r="93" spans="1:200" x14ac:dyDescent="0.2">
      <c r="A93">
        <f>ROW(Source!A42)</f>
        <v>42</v>
      </c>
      <c r="B93">
        <v>34748518</v>
      </c>
      <c r="C93">
        <v>34748747</v>
      </c>
      <c r="D93">
        <v>32164293</v>
      </c>
      <c r="E93">
        <v>1</v>
      </c>
      <c r="F93">
        <v>1</v>
      </c>
      <c r="G93">
        <v>1</v>
      </c>
      <c r="H93">
        <v>1</v>
      </c>
      <c r="I93" t="s">
        <v>338</v>
      </c>
      <c r="J93" t="s">
        <v>3</v>
      </c>
      <c r="K93" t="s">
        <v>339</v>
      </c>
      <c r="L93">
        <v>1191</v>
      </c>
      <c r="N93">
        <v>1013</v>
      </c>
      <c r="O93" t="s">
        <v>254</v>
      </c>
      <c r="P93" t="s">
        <v>254</v>
      </c>
      <c r="Q93">
        <v>1</v>
      </c>
      <c r="W93">
        <v>0</v>
      </c>
      <c r="X93">
        <v>-1166887252</v>
      </c>
      <c r="Y93">
        <v>0.81</v>
      </c>
      <c r="AA93">
        <v>0</v>
      </c>
      <c r="AB93">
        <v>0</v>
      </c>
      <c r="AC93">
        <v>0</v>
      </c>
      <c r="AD93">
        <v>12.92</v>
      </c>
      <c r="AE93">
        <v>0</v>
      </c>
      <c r="AF93">
        <v>0</v>
      </c>
      <c r="AG93">
        <v>0</v>
      </c>
      <c r="AH93">
        <v>12.92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0.81</v>
      </c>
      <c r="AU93" t="s">
        <v>3</v>
      </c>
      <c r="AV93">
        <v>1</v>
      </c>
      <c r="AW93">
        <v>2</v>
      </c>
      <c r="AX93">
        <v>34748748</v>
      </c>
      <c r="AY93">
        <v>1</v>
      </c>
      <c r="AZ93">
        <v>0</v>
      </c>
      <c r="BA93">
        <v>95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Y93*Source!I42</f>
        <v>1.62</v>
      </c>
      <c r="CY93">
        <f t="shared" ref="CY93:CY98" si="18">AD93</f>
        <v>12.92</v>
      </c>
      <c r="CZ93">
        <f t="shared" ref="CZ93:CZ98" si="19">AH93</f>
        <v>12.92</v>
      </c>
      <c r="DA93">
        <f t="shared" ref="DA93:DA98" si="20">AL93</f>
        <v>1</v>
      </c>
      <c r="DB93">
        <f t="shared" si="16"/>
        <v>10.47</v>
      </c>
      <c r="DC93">
        <f t="shared" si="17"/>
        <v>0</v>
      </c>
      <c r="GQ93">
        <v>-1</v>
      </c>
      <c r="GR93">
        <v>-1</v>
      </c>
    </row>
    <row r="94" spans="1:200" x14ac:dyDescent="0.2">
      <c r="A94">
        <f>ROW(Source!A42)</f>
        <v>42</v>
      </c>
      <c r="B94">
        <v>34748518</v>
      </c>
      <c r="C94">
        <v>34748747</v>
      </c>
      <c r="D94">
        <v>32163330</v>
      </c>
      <c r="E94">
        <v>1</v>
      </c>
      <c r="F94">
        <v>1</v>
      </c>
      <c r="G94">
        <v>1</v>
      </c>
      <c r="H94">
        <v>1</v>
      </c>
      <c r="I94" t="s">
        <v>340</v>
      </c>
      <c r="J94" t="s">
        <v>3</v>
      </c>
      <c r="K94" t="s">
        <v>341</v>
      </c>
      <c r="L94">
        <v>1191</v>
      </c>
      <c r="N94">
        <v>1013</v>
      </c>
      <c r="O94" t="s">
        <v>254</v>
      </c>
      <c r="P94" t="s">
        <v>254</v>
      </c>
      <c r="Q94">
        <v>1</v>
      </c>
      <c r="W94">
        <v>0</v>
      </c>
      <c r="X94">
        <v>1776637054</v>
      </c>
      <c r="Y94">
        <v>0.81</v>
      </c>
      <c r="AA94">
        <v>0</v>
      </c>
      <c r="AB94">
        <v>0</v>
      </c>
      <c r="AC94">
        <v>0</v>
      </c>
      <c r="AD94">
        <v>12.69</v>
      </c>
      <c r="AE94">
        <v>0</v>
      </c>
      <c r="AF94">
        <v>0</v>
      </c>
      <c r="AG94">
        <v>0</v>
      </c>
      <c r="AH94">
        <v>12.69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0.81</v>
      </c>
      <c r="AU94" t="s">
        <v>3</v>
      </c>
      <c r="AV94">
        <v>1</v>
      </c>
      <c r="AW94">
        <v>2</v>
      </c>
      <c r="AX94">
        <v>34748749</v>
      </c>
      <c r="AY94">
        <v>1</v>
      </c>
      <c r="AZ94">
        <v>0</v>
      </c>
      <c r="BA94">
        <v>96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Y94*Source!I42</f>
        <v>1.62</v>
      </c>
      <c r="CY94">
        <f t="shared" si="18"/>
        <v>12.69</v>
      </c>
      <c r="CZ94">
        <f t="shared" si="19"/>
        <v>12.69</v>
      </c>
      <c r="DA94">
        <f t="shared" si="20"/>
        <v>1</v>
      </c>
      <c r="DB94">
        <f t="shared" si="16"/>
        <v>10.28</v>
      </c>
      <c r="DC94">
        <f t="shared" si="17"/>
        <v>0</v>
      </c>
      <c r="GQ94">
        <v>-1</v>
      </c>
      <c r="GR94">
        <v>-1</v>
      </c>
    </row>
    <row r="95" spans="1:200" x14ac:dyDescent="0.2">
      <c r="A95">
        <f>ROW(Source!A43)</f>
        <v>43</v>
      </c>
      <c r="B95">
        <v>34748540</v>
      </c>
      <c r="C95">
        <v>34748747</v>
      </c>
      <c r="D95">
        <v>32164293</v>
      </c>
      <c r="E95">
        <v>1</v>
      </c>
      <c r="F95">
        <v>1</v>
      </c>
      <c r="G95">
        <v>1</v>
      </c>
      <c r="H95">
        <v>1</v>
      </c>
      <c r="I95" t="s">
        <v>338</v>
      </c>
      <c r="J95" t="s">
        <v>3</v>
      </c>
      <c r="K95" t="s">
        <v>339</v>
      </c>
      <c r="L95">
        <v>1191</v>
      </c>
      <c r="N95">
        <v>1013</v>
      </c>
      <c r="O95" t="s">
        <v>254</v>
      </c>
      <c r="P95" t="s">
        <v>254</v>
      </c>
      <c r="Q95">
        <v>1</v>
      </c>
      <c r="W95">
        <v>0</v>
      </c>
      <c r="X95">
        <v>-1166887252</v>
      </c>
      <c r="Y95">
        <v>0.81</v>
      </c>
      <c r="AA95">
        <v>0</v>
      </c>
      <c r="AB95">
        <v>0</v>
      </c>
      <c r="AC95">
        <v>0</v>
      </c>
      <c r="AD95">
        <v>161.5</v>
      </c>
      <c r="AE95">
        <v>0</v>
      </c>
      <c r="AF95">
        <v>0</v>
      </c>
      <c r="AG95">
        <v>0</v>
      </c>
      <c r="AH95">
        <v>12.92</v>
      </c>
      <c r="AI95">
        <v>1</v>
      </c>
      <c r="AJ95">
        <v>1</v>
      </c>
      <c r="AK95">
        <v>1</v>
      </c>
      <c r="AL95">
        <v>12.5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0.81</v>
      </c>
      <c r="AU95" t="s">
        <v>3</v>
      </c>
      <c r="AV95">
        <v>1</v>
      </c>
      <c r="AW95">
        <v>2</v>
      </c>
      <c r="AX95">
        <v>34748748</v>
      </c>
      <c r="AY95">
        <v>1</v>
      </c>
      <c r="AZ95">
        <v>0</v>
      </c>
      <c r="BA95">
        <v>97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Y95*Source!I43</f>
        <v>1.62</v>
      </c>
      <c r="CY95">
        <f t="shared" si="18"/>
        <v>161.5</v>
      </c>
      <c r="CZ95">
        <f t="shared" si="19"/>
        <v>12.92</v>
      </c>
      <c r="DA95">
        <f t="shared" si="20"/>
        <v>12.5</v>
      </c>
      <c r="DB95">
        <f t="shared" si="16"/>
        <v>10.47</v>
      </c>
      <c r="DC95">
        <f t="shared" si="17"/>
        <v>0</v>
      </c>
      <c r="GQ95">
        <v>-1</v>
      </c>
      <c r="GR95">
        <v>-1</v>
      </c>
    </row>
    <row r="96" spans="1:200" x14ac:dyDescent="0.2">
      <c r="A96">
        <f>ROW(Source!A43)</f>
        <v>43</v>
      </c>
      <c r="B96">
        <v>34748540</v>
      </c>
      <c r="C96">
        <v>34748747</v>
      </c>
      <c r="D96">
        <v>32163330</v>
      </c>
      <c r="E96">
        <v>1</v>
      </c>
      <c r="F96">
        <v>1</v>
      </c>
      <c r="G96">
        <v>1</v>
      </c>
      <c r="H96">
        <v>1</v>
      </c>
      <c r="I96" t="s">
        <v>340</v>
      </c>
      <c r="J96" t="s">
        <v>3</v>
      </c>
      <c r="K96" t="s">
        <v>341</v>
      </c>
      <c r="L96">
        <v>1191</v>
      </c>
      <c r="N96">
        <v>1013</v>
      </c>
      <c r="O96" t="s">
        <v>254</v>
      </c>
      <c r="P96" t="s">
        <v>254</v>
      </c>
      <c r="Q96">
        <v>1</v>
      </c>
      <c r="W96">
        <v>0</v>
      </c>
      <c r="X96">
        <v>1776637054</v>
      </c>
      <c r="Y96">
        <v>0.81</v>
      </c>
      <c r="AA96">
        <v>0</v>
      </c>
      <c r="AB96">
        <v>0</v>
      </c>
      <c r="AC96">
        <v>0</v>
      </c>
      <c r="AD96">
        <v>158.63</v>
      </c>
      <c r="AE96">
        <v>0</v>
      </c>
      <c r="AF96">
        <v>0</v>
      </c>
      <c r="AG96">
        <v>0</v>
      </c>
      <c r="AH96">
        <v>12.69</v>
      </c>
      <c r="AI96">
        <v>1</v>
      </c>
      <c r="AJ96">
        <v>1</v>
      </c>
      <c r="AK96">
        <v>1</v>
      </c>
      <c r="AL96">
        <v>12.5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0.81</v>
      </c>
      <c r="AU96" t="s">
        <v>3</v>
      </c>
      <c r="AV96">
        <v>1</v>
      </c>
      <c r="AW96">
        <v>2</v>
      </c>
      <c r="AX96">
        <v>34748749</v>
      </c>
      <c r="AY96">
        <v>1</v>
      </c>
      <c r="AZ96">
        <v>0</v>
      </c>
      <c r="BA96">
        <v>98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Y96*Source!I43</f>
        <v>1.62</v>
      </c>
      <c r="CY96">
        <f t="shared" si="18"/>
        <v>158.63</v>
      </c>
      <c r="CZ96">
        <f t="shared" si="19"/>
        <v>12.69</v>
      </c>
      <c r="DA96">
        <f t="shared" si="20"/>
        <v>12.5</v>
      </c>
      <c r="DB96">
        <f t="shared" si="16"/>
        <v>10.28</v>
      </c>
      <c r="DC96">
        <f t="shared" si="17"/>
        <v>0</v>
      </c>
      <c r="GQ96">
        <v>-1</v>
      </c>
      <c r="GR96">
        <v>-1</v>
      </c>
    </row>
    <row r="97" spans="1:200" x14ac:dyDescent="0.2">
      <c r="A97">
        <f>ROW(Source!A44)</f>
        <v>44</v>
      </c>
      <c r="B97">
        <v>34748518</v>
      </c>
      <c r="C97">
        <v>34750853</v>
      </c>
      <c r="D97">
        <v>31725395</v>
      </c>
      <c r="E97">
        <v>1</v>
      </c>
      <c r="F97">
        <v>1</v>
      </c>
      <c r="G97">
        <v>1</v>
      </c>
      <c r="H97">
        <v>1</v>
      </c>
      <c r="I97" t="s">
        <v>307</v>
      </c>
      <c r="J97" t="s">
        <v>3</v>
      </c>
      <c r="K97" t="s">
        <v>308</v>
      </c>
      <c r="L97">
        <v>1191</v>
      </c>
      <c r="N97">
        <v>1013</v>
      </c>
      <c r="O97" t="s">
        <v>254</v>
      </c>
      <c r="P97" t="s">
        <v>254</v>
      </c>
      <c r="Q97">
        <v>1</v>
      </c>
      <c r="W97">
        <v>0</v>
      </c>
      <c r="X97">
        <v>912892513</v>
      </c>
      <c r="Y97">
        <v>3.58</v>
      </c>
      <c r="AA97">
        <v>0</v>
      </c>
      <c r="AB97">
        <v>0</v>
      </c>
      <c r="AC97">
        <v>0</v>
      </c>
      <c r="AD97">
        <v>9.92</v>
      </c>
      <c r="AE97">
        <v>0</v>
      </c>
      <c r="AF97">
        <v>0</v>
      </c>
      <c r="AG97">
        <v>0</v>
      </c>
      <c r="AH97">
        <v>9.92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3.58</v>
      </c>
      <c r="AU97" t="s">
        <v>3</v>
      </c>
      <c r="AV97">
        <v>1</v>
      </c>
      <c r="AW97">
        <v>2</v>
      </c>
      <c r="AX97">
        <v>34750854</v>
      </c>
      <c r="AY97">
        <v>1</v>
      </c>
      <c r="AZ97">
        <v>0</v>
      </c>
      <c r="BA97">
        <v>99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Y97*Source!I44</f>
        <v>7.16</v>
      </c>
      <c r="CY97">
        <f t="shared" si="18"/>
        <v>9.92</v>
      </c>
      <c r="CZ97">
        <f t="shared" si="19"/>
        <v>9.92</v>
      </c>
      <c r="DA97">
        <f t="shared" si="20"/>
        <v>1</v>
      </c>
      <c r="DB97">
        <f t="shared" ref="DB97:DB128" si="21">ROUND(ROUND(AT97*CZ97,2),2)</f>
        <v>35.51</v>
      </c>
      <c r="DC97">
        <f t="shared" ref="DC97:DC128" si="22">ROUND(ROUND(AT97*AG97,2),2)</f>
        <v>0</v>
      </c>
      <c r="GQ97">
        <v>-1</v>
      </c>
      <c r="GR97">
        <v>-1</v>
      </c>
    </row>
    <row r="98" spans="1:200" x14ac:dyDescent="0.2">
      <c r="A98">
        <f>ROW(Source!A44)</f>
        <v>44</v>
      </c>
      <c r="B98">
        <v>34748518</v>
      </c>
      <c r="C98">
        <v>34750853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257</v>
      </c>
      <c r="J98" t="s">
        <v>3</v>
      </c>
      <c r="K98" t="s">
        <v>258</v>
      </c>
      <c r="L98">
        <v>1191</v>
      </c>
      <c r="N98">
        <v>1013</v>
      </c>
      <c r="O98" t="s">
        <v>254</v>
      </c>
      <c r="P98" t="s">
        <v>254</v>
      </c>
      <c r="Q98">
        <v>1</v>
      </c>
      <c r="W98">
        <v>0</v>
      </c>
      <c r="X98">
        <v>-1417349443</v>
      </c>
      <c r="Y98">
        <v>0.05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0.05</v>
      </c>
      <c r="AU98" t="s">
        <v>3</v>
      </c>
      <c r="AV98">
        <v>2</v>
      </c>
      <c r="AW98">
        <v>2</v>
      </c>
      <c r="AX98">
        <v>34750855</v>
      </c>
      <c r="AY98">
        <v>1</v>
      </c>
      <c r="AZ98">
        <v>0</v>
      </c>
      <c r="BA98">
        <v>100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Y98*Source!I44</f>
        <v>0.1</v>
      </c>
      <c r="CY98">
        <f t="shared" si="18"/>
        <v>0</v>
      </c>
      <c r="CZ98">
        <f t="shared" si="19"/>
        <v>0</v>
      </c>
      <c r="DA98">
        <f t="shared" si="20"/>
        <v>1</v>
      </c>
      <c r="DB98">
        <f t="shared" si="21"/>
        <v>0</v>
      </c>
      <c r="DC98">
        <f t="shared" si="22"/>
        <v>0</v>
      </c>
      <c r="GQ98">
        <v>-1</v>
      </c>
      <c r="GR98">
        <v>-1</v>
      </c>
    </row>
    <row r="99" spans="1:200" x14ac:dyDescent="0.2">
      <c r="A99">
        <f>ROW(Source!A44)</f>
        <v>44</v>
      </c>
      <c r="B99">
        <v>34748518</v>
      </c>
      <c r="C99">
        <v>34750853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259</v>
      </c>
      <c r="J99" t="s">
        <v>260</v>
      </c>
      <c r="K99" t="s">
        <v>261</v>
      </c>
      <c r="L99">
        <v>1368</v>
      </c>
      <c r="N99">
        <v>1011</v>
      </c>
      <c r="O99" t="s">
        <v>262</v>
      </c>
      <c r="P99" t="s">
        <v>262</v>
      </c>
      <c r="Q99">
        <v>1</v>
      </c>
      <c r="W99">
        <v>0</v>
      </c>
      <c r="X99">
        <v>-1718674368</v>
      </c>
      <c r="Y99">
        <v>0.03</v>
      </c>
      <c r="AA99">
        <v>0</v>
      </c>
      <c r="AB99">
        <v>111.99</v>
      </c>
      <c r="AC99">
        <v>13.5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0.03</v>
      </c>
      <c r="AU99" t="s">
        <v>3</v>
      </c>
      <c r="AV99">
        <v>0</v>
      </c>
      <c r="AW99">
        <v>2</v>
      </c>
      <c r="AX99">
        <v>34750856</v>
      </c>
      <c r="AY99">
        <v>1</v>
      </c>
      <c r="AZ99">
        <v>0</v>
      </c>
      <c r="BA99">
        <v>101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Y99*Source!I44</f>
        <v>0.06</v>
      </c>
      <c r="CY99">
        <f>AB99</f>
        <v>111.99</v>
      </c>
      <c r="CZ99">
        <f>AF99</f>
        <v>111.99</v>
      </c>
      <c r="DA99">
        <f>AJ99</f>
        <v>1</v>
      </c>
      <c r="DB99">
        <f t="shared" si="21"/>
        <v>3.36</v>
      </c>
      <c r="DC99">
        <f t="shared" si="22"/>
        <v>0.41</v>
      </c>
      <c r="GQ99">
        <v>-1</v>
      </c>
      <c r="GR99">
        <v>-1</v>
      </c>
    </row>
    <row r="100" spans="1:200" x14ac:dyDescent="0.2">
      <c r="A100">
        <f>ROW(Source!A44)</f>
        <v>44</v>
      </c>
      <c r="B100">
        <v>34748518</v>
      </c>
      <c r="C100">
        <v>34750853</v>
      </c>
      <c r="D100">
        <v>31528142</v>
      </c>
      <c r="E100">
        <v>1</v>
      </c>
      <c r="F100">
        <v>1</v>
      </c>
      <c r="G100">
        <v>1</v>
      </c>
      <c r="H100">
        <v>2</v>
      </c>
      <c r="I100" t="s">
        <v>266</v>
      </c>
      <c r="J100" t="s">
        <v>267</v>
      </c>
      <c r="K100" t="s">
        <v>268</v>
      </c>
      <c r="L100">
        <v>1368</v>
      </c>
      <c r="N100">
        <v>1011</v>
      </c>
      <c r="O100" t="s">
        <v>262</v>
      </c>
      <c r="P100" t="s">
        <v>262</v>
      </c>
      <c r="Q100">
        <v>1</v>
      </c>
      <c r="W100">
        <v>0</v>
      </c>
      <c r="X100">
        <v>1372534845</v>
      </c>
      <c r="Y100">
        <v>0.02</v>
      </c>
      <c r="AA100">
        <v>0</v>
      </c>
      <c r="AB100">
        <v>65.709999999999994</v>
      </c>
      <c r="AC100">
        <v>11.6</v>
      </c>
      <c r="AD100">
        <v>0</v>
      </c>
      <c r="AE100">
        <v>0</v>
      </c>
      <c r="AF100">
        <v>65.709999999999994</v>
      </c>
      <c r="AG100">
        <v>11.6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0.02</v>
      </c>
      <c r="AU100" t="s">
        <v>3</v>
      </c>
      <c r="AV100">
        <v>0</v>
      </c>
      <c r="AW100">
        <v>2</v>
      </c>
      <c r="AX100">
        <v>34750857</v>
      </c>
      <c r="AY100">
        <v>1</v>
      </c>
      <c r="AZ100">
        <v>0</v>
      </c>
      <c r="BA100">
        <v>102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Y100*Source!I44</f>
        <v>0.04</v>
      </c>
      <c r="CY100">
        <f>AB100</f>
        <v>65.709999999999994</v>
      </c>
      <c r="CZ100">
        <f>AF100</f>
        <v>65.709999999999994</v>
      </c>
      <c r="DA100">
        <f>AJ100</f>
        <v>1</v>
      </c>
      <c r="DB100">
        <f t="shared" si="21"/>
        <v>1.31</v>
      </c>
      <c r="DC100">
        <f t="shared" si="22"/>
        <v>0.23</v>
      </c>
      <c r="GQ100">
        <v>-1</v>
      </c>
      <c r="GR100">
        <v>-1</v>
      </c>
    </row>
    <row r="101" spans="1:200" x14ac:dyDescent="0.2">
      <c r="A101">
        <f>ROW(Source!A44)</f>
        <v>44</v>
      </c>
      <c r="B101">
        <v>34748518</v>
      </c>
      <c r="C101">
        <v>34750853</v>
      </c>
      <c r="D101">
        <v>31446697</v>
      </c>
      <c r="E101">
        <v>1</v>
      </c>
      <c r="F101">
        <v>1</v>
      </c>
      <c r="G101">
        <v>1</v>
      </c>
      <c r="H101">
        <v>3</v>
      </c>
      <c r="I101" t="s">
        <v>342</v>
      </c>
      <c r="J101" t="s">
        <v>343</v>
      </c>
      <c r="K101" t="s">
        <v>344</v>
      </c>
      <c r="L101">
        <v>1346</v>
      </c>
      <c r="N101">
        <v>1009</v>
      </c>
      <c r="O101" t="s">
        <v>272</v>
      </c>
      <c r="P101" t="s">
        <v>272</v>
      </c>
      <c r="Q101">
        <v>1</v>
      </c>
      <c r="W101">
        <v>0</v>
      </c>
      <c r="X101">
        <v>-1088866022</v>
      </c>
      <c r="Y101">
        <v>0.06</v>
      </c>
      <c r="AA101">
        <v>30.4</v>
      </c>
      <c r="AB101">
        <v>0</v>
      </c>
      <c r="AC101">
        <v>0</v>
      </c>
      <c r="AD101">
        <v>0</v>
      </c>
      <c r="AE101">
        <v>30.4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0.06</v>
      </c>
      <c r="AU101" t="s">
        <v>3</v>
      </c>
      <c r="AV101">
        <v>0</v>
      </c>
      <c r="AW101">
        <v>2</v>
      </c>
      <c r="AX101">
        <v>34750858</v>
      </c>
      <c r="AY101">
        <v>1</v>
      </c>
      <c r="AZ101">
        <v>0</v>
      </c>
      <c r="BA101">
        <v>103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Y101*Source!I44</f>
        <v>0.12</v>
      </c>
      <c r="CY101">
        <f>AA101</f>
        <v>30.4</v>
      </c>
      <c r="CZ101">
        <f>AE101</f>
        <v>30.4</v>
      </c>
      <c r="DA101">
        <f>AI101</f>
        <v>1</v>
      </c>
      <c r="DB101">
        <f t="shared" si="21"/>
        <v>1.82</v>
      </c>
      <c r="DC101">
        <f t="shared" si="22"/>
        <v>0</v>
      </c>
      <c r="DH101">
        <f>Source!I44*SmtRes!Y101</f>
        <v>0.12</v>
      </c>
      <c r="DI101">
        <f>AA101</f>
        <v>30.4</v>
      </c>
      <c r="DJ101">
        <f>EtalonRes!Y103</f>
        <v>30.4</v>
      </c>
      <c r="DK101">
        <f>Source!BC44</f>
        <v>1</v>
      </c>
      <c r="GQ101">
        <v>-1</v>
      </c>
      <c r="GR101">
        <v>-1</v>
      </c>
    </row>
    <row r="102" spans="1:200" x14ac:dyDescent="0.2">
      <c r="A102">
        <f>ROW(Source!A44)</f>
        <v>44</v>
      </c>
      <c r="B102">
        <v>34748518</v>
      </c>
      <c r="C102">
        <v>34750853</v>
      </c>
      <c r="D102">
        <v>31449183</v>
      </c>
      <c r="E102">
        <v>1</v>
      </c>
      <c r="F102">
        <v>1</v>
      </c>
      <c r="G102">
        <v>1</v>
      </c>
      <c r="H102">
        <v>3</v>
      </c>
      <c r="I102" t="s">
        <v>345</v>
      </c>
      <c r="J102" t="s">
        <v>346</v>
      </c>
      <c r="K102" t="s">
        <v>347</v>
      </c>
      <c r="L102">
        <v>1355</v>
      </c>
      <c r="N102">
        <v>1010</v>
      </c>
      <c r="O102" t="s">
        <v>320</v>
      </c>
      <c r="P102" t="s">
        <v>320</v>
      </c>
      <c r="Q102">
        <v>100</v>
      </c>
      <c r="W102">
        <v>0</v>
      </c>
      <c r="X102">
        <v>1794244060</v>
      </c>
      <c r="Y102">
        <v>0.04</v>
      </c>
      <c r="AA102">
        <v>86</v>
      </c>
      <c r="AB102">
        <v>0</v>
      </c>
      <c r="AC102">
        <v>0</v>
      </c>
      <c r="AD102">
        <v>0</v>
      </c>
      <c r="AE102">
        <v>86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0.04</v>
      </c>
      <c r="AU102" t="s">
        <v>3</v>
      </c>
      <c r="AV102">
        <v>0</v>
      </c>
      <c r="AW102">
        <v>2</v>
      </c>
      <c r="AX102">
        <v>34750859</v>
      </c>
      <c r="AY102">
        <v>1</v>
      </c>
      <c r="AZ102">
        <v>0</v>
      </c>
      <c r="BA102">
        <v>104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Y102*Source!I44</f>
        <v>0.08</v>
      </c>
      <c r="CY102">
        <f>AA102</f>
        <v>86</v>
      </c>
      <c r="CZ102">
        <f>AE102</f>
        <v>86</v>
      </c>
      <c r="DA102">
        <f>AI102</f>
        <v>1</v>
      </c>
      <c r="DB102">
        <f t="shared" si="21"/>
        <v>3.44</v>
      </c>
      <c r="DC102">
        <f t="shared" si="22"/>
        <v>0</v>
      </c>
      <c r="DH102">
        <f>Source!I44*SmtRes!Y102</f>
        <v>0.08</v>
      </c>
      <c r="DI102">
        <f>AA102</f>
        <v>86</v>
      </c>
      <c r="DJ102">
        <f>EtalonRes!Y104</f>
        <v>86</v>
      </c>
      <c r="DK102">
        <f>Source!BC44</f>
        <v>1</v>
      </c>
      <c r="GQ102">
        <v>-1</v>
      </c>
      <c r="GR102">
        <v>-1</v>
      </c>
    </row>
    <row r="103" spans="1:200" x14ac:dyDescent="0.2">
      <c r="A103">
        <f>ROW(Source!A44)</f>
        <v>44</v>
      </c>
      <c r="B103">
        <v>34748518</v>
      </c>
      <c r="C103">
        <v>34750853</v>
      </c>
      <c r="D103">
        <v>31482923</v>
      </c>
      <c r="E103">
        <v>1</v>
      </c>
      <c r="F103">
        <v>1</v>
      </c>
      <c r="G103">
        <v>1</v>
      </c>
      <c r="H103">
        <v>3</v>
      </c>
      <c r="I103" t="s">
        <v>304</v>
      </c>
      <c r="J103" t="s">
        <v>305</v>
      </c>
      <c r="K103" t="s">
        <v>306</v>
      </c>
      <c r="L103">
        <v>1346</v>
      </c>
      <c r="N103">
        <v>1009</v>
      </c>
      <c r="O103" t="s">
        <v>272</v>
      </c>
      <c r="P103" t="s">
        <v>272</v>
      </c>
      <c r="Q103">
        <v>1</v>
      </c>
      <c r="W103">
        <v>0</v>
      </c>
      <c r="X103">
        <v>210558753</v>
      </c>
      <c r="Y103">
        <v>0.02</v>
      </c>
      <c r="AA103">
        <v>28.6</v>
      </c>
      <c r="AB103">
        <v>0</v>
      </c>
      <c r="AC103">
        <v>0</v>
      </c>
      <c r="AD103">
        <v>0</v>
      </c>
      <c r="AE103">
        <v>28.6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34750860</v>
      </c>
      <c r="AY103">
        <v>1</v>
      </c>
      <c r="AZ103">
        <v>0</v>
      </c>
      <c r="BA103">
        <v>105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Y103*Source!I44</f>
        <v>0.04</v>
      </c>
      <c r="CY103">
        <f>AA103</f>
        <v>28.6</v>
      </c>
      <c r="CZ103">
        <f>AE103</f>
        <v>28.6</v>
      </c>
      <c r="DA103">
        <f>AI103</f>
        <v>1</v>
      </c>
      <c r="DB103">
        <f t="shared" si="21"/>
        <v>0.56999999999999995</v>
      </c>
      <c r="DC103">
        <f t="shared" si="22"/>
        <v>0</v>
      </c>
      <c r="DH103">
        <f>Source!I44*SmtRes!Y103</f>
        <v>0.04</v>
      </c>
      <c r="DI103">
        <f>AA103</f>
        <v>28.6</v>
      </c>
      <c r="DJ103">
        <f>EtalonRes!Y105</f>
        <v>28.6</v>
      </c>
      <c r="DK103">
        <f>Source!BC44</f>
        <v>1</v>
      </c>
      <c r="GQ103">
        <v>-1</v>
      </c>
      <c r="GR103">
        <v>-1</v>
      </c>
    </row>
    <row r="104" spans="1:200" x14ac:dyDescent="0.2">
      <c r="A104">
        <f>ROW(Source!A44)</f>
        <v>44</v>
      </c>
      <c r="B104">
        <v>34748518</v>
      </c>
      <c r="C104">
        <v>34750853</v>
      </c>
      <c r="D104">
        <v>31482960</v>
      </c>
      <c r="E104">
        <v>1</v>
      </c>
      <c r="F104">
        <v>1</v>
      </c>
      <c r="G104">
        <v>1</v>
      </c>
      <c r="H104">
        <v>3</v>
      </c>
      <c r="I104" t="s">
        <v>348</v>
      </c>
      <c r="J104" t="s">
        <v>349</v>
      </c>
      <c r="K104" t="s">
        <v>350</v>
      </c>
      <c r="L104">
        <v>1348</v>
      </c>
      <c r="N104">
        <v>1009</v>
      </c>
      <c r="O104" t="s">
        <v>290</v>
      </c>
      <c r="P104" t="s">
        <v>290</v>
      </c>
      <c r="Q104">
        <v>1000</v>
      </c>
      <c r="W104">
        <v>0</v>
      </c>
      <c r="X104">
        <v>-108263514</v>
      </c>
      <c r="Y104">
        <v>5.8E-4</v>
      </c>
      <c r="AA104">
        <v>7826.9</v>
      </c>
      <c r="AB104">
        <v>0</v>
      </c>
      <c r="AC104">
        <v>0</v>
      </c>
      <c r="AD104">
        <v>0</v>
      </c>
      <c r="AE104">
        <v>7826.9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5.8E-4</v>
      </c>
      <c r="AU104" t="s">
        <v>3</v>
      </c>
      <c r="AV104">
        <v>0</v>
      </c>
      <c r="AW104">
        <v>2</v>
      </c>
      <c r="AX104">
        <v>34750861</v>
      </c>
      <c r="AY104">
        <v>1</v>
      </c>
      <c r="AZ104">
        <v>0</v>
      </c>
      <c r="BA104">
        <v>106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Y104*Source!I44</f>
        <v>1.16E-3</v>
      </c>
      <c r="CY104">
        <f>AA104</f>
        <v>7826.9</v>
      </c>
      <c r="CZ104">
        <f>AE104</f>
        <v>7826.9</v>
      </c>
      <c r="DA104">
        <f>AI104</f>
        <v>1</v>
      </c>
      <c r="DB104">
        <f t="shared" si="21"/>
        <v>4.54</v>
      </c>
      <c r="DC104">
        <f t="shared" si="22"/>
        <v>0</v>
      </c>
      <c r="DH104">
        <f>Source!I44*SmtRes!Y104</f>
        <v>1.16E-3</v>
      </c>
      <c r="DI104">
        <f>AA104</f>
        <v>7826.9</v>
      </c>
      <c r="DJ104">
        <f>EtalonRes!Y106</f>
        <v>7826.9</v>
      </c>
      <c r="DK104">
        <f>Source!BC44</f>
        <v>1</v>
      </c>
      <c r="GQ104">
        <v>-1</v>
      </c>
      <c r="GR104">
        <v>-1</v>
      </c>
    </row>
    <row r="105" spans="1:200" x14ac:dyDescent="0.2">
      <c r="A105">
        <f>ROW(Source!A44)</f>
        <v>44</v>
      </c>
      <c r="B105">
        <v>34748518</v>
      </c>
      <c r="C105">
        <v>34750853</v>
      </c>
      <c r="D105">
        <v>31443668</v>
      </c>
      <c r="E105">
        <v>17</v>
      </c>
      <c r="F105">
        <v>1</v>
      </c>
      <c r="G105">
        <v>1</v>
      </c>
      <c r="H105">
        <v>3</v>
      </c>
      <c r="I105" t="s">
        <v>277</v>
      </c>
      <c r="J105" t="s">
        <v>3</v>
      </c>
      <c r="K105" t="s">
        <v>278</v>
      </c>
      <c r="L105">
        <v>1374</v>
      </c>
      <c r="N105">
        <v>1013</v>
      </c>
      <c r="O105" t="s">
        <v>279</v>
      </c>
      <c r="P105" t="s">
        <v>279</v>
      </c>
      <c r="Q105">
        <v>1</v>
      </c>
      <c r="W105">
        <v>0</v>
      </c>
      <c r="X105">
        <v>-1731369543</v>
      </c>
      <c r="Y105">
        <v>0.71</v>
      </c>
      <c r="AA105">
        <v>1</v>
      </c>
      <c r="AB105">
        <v>0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0.71</v>
      </c>
      <c r="AU105" t="s">
        <v>3</v>
      </c>
      <c r="AV105">
        <v>0</v>
      </c>
      <c r="AW105">
        <v>2</v>
      </c>
      <c r="AX105">
        <v>34750862</v>
      </c>
      <c r="AY105">
        <v>1</v>
      </c>
      <c r="AZ105">
        <v>0</v>
      </c>
      <c r="BA105">
        <v>107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Y105*Source!I44</f>
        <v>1.42</v>
      </c>
      <c r="CY105">
        <f>AA105</f>
        <v>1</v>
      </c>
      <c r="CZ105">
        <f>AE105</f>
        <v>1</v>
      </c>
      <c r="DA105">
        <f>AI105</f>
        <v>1</v>
      </c>
      <c r="DB105">
        <f t="shared" si="21"/>
        <v>0.71</v>
      </c>
      <c r="DC105">
        <f t="shared" si="22"/>
        <v>0</v>
      </c>
      <c r="DH105">
        <f>Source!I44*SmtRes!Y105</f>
        <v>1.42</v>
      </c>
      <c r="DI105">
        <f>AA105</f>
        <v>1</v>
      </c>
      <c r="DJ105">
        <f>EtalonRes!Y107</f>
        <v>1</v>
      </c>
      <c r="DK105">
        <f>Source!BC44</f>
        <v>1</v>
      </c>
      <c r="GQ105">
        <v>-1</v>
      </c>
      <c r="GR105">
        <v>-1</v>
      </c>
    </row>
    <row r="106" spans="1:200" x14ac:dyDescent="0.2">
      <c r="A106">
        <f>ROW(Source!A45)</f>
        <v>45</v>
      </c>
      <c r="B106">
        <v>34748540</v>
      </c>
      <c r="C106">
        <v>34750853</v>
      </c>
      <c r="D106">
        <v>31725395</v>
      </c>
      <c r="E106">
        <v>1</v>
      </c>
      <c r="F106">
        <v>1</v>
      </c>
      <c r="G106">
        <v>1</v>
      </c>
      <c r="H106">
        <v>1</v>
      </c>
      <c r="I106" t="s">
        <v>307</v>
      </c>
      <c r="J106" t="s">
        <v>3</v>
      </c>
      <c r="K106" t="s">
        <v>308</v>
      </c>
      <c r="L106">
        <v>1191</v>
      </c>
      <c r="N106">
        <v>1013</v>
      </c>
      <c r="O106" t="s">
        <v>254</v>
      </c>
      <c r="P106" t="s">
        <v>254</v>
      </c>
      <c r="Q106">
        <v>1</v>
      </c>
      <c r="W106">
        <v>0</v>
      </c>
      <c r="X106">
        <v>912892513</v>
      </c>
      <c r="Y106">
        <v>3.58</v>
      </c>
      <c r="AA106">
        <v>0</v>
      </c>
      <c r="AB106">
        <v>0</v>
      </c>
      <c r="AC106">
        <v>0</v>
      </c>
      <c r="AD106">
        <v>124</v>
      </c>
      <c r="AE106">
        <v>0</v>
      </c>
      <c r="AF106">
        <v>0</v>
      </c>
      <c r="AG106">
        <v>0</v>
      </c>
      <c r="AH106">
        <v>9.92</v>
      </c>
      <c r="AI106">
        <v>1</v>
      </c>
      <c r="AJ106">
        <v>1</v>
      </c>
      <c r="AK106">
        <v>1</v>
      </c>
      <c r="AL106">
        <v>12.5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3.58</v>
      </c>
      <c r="AU106" t="s">
        <v>3</v>
      </c>
      <c r="AV106">
        <v>1</v>
      </c>
      <c r="AW106">
        <v>2</v>
      </c>
      <c r="AX106">
        <v>34750854</v>
      </c>
      <c r="AY106">
        <v>1</v>
      </c>
      <c r="AZ106">
        <v>0</v>
      </c>
      <c r="BA106">
        <v>108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Y106*Source!I45</f>
        <v>7.16</v>
      </c>
      <c r="CY106">
        <f>AD106</f>
        <v>124</v>
      </c>
      <c r="CZ106">
        <f>AH106</f>
        <v>9.92</v>
      </c>
      <c r="DA106">
        <f>AL106</f>
        <v>12.5</v>
      </c>
      <c r="DB106">
        <f t="shared" si="21"/>
        <v>35.51</v>
      </c>
      <c r="DC106">
        <f t="shared" si="22"/>
        <v>0</v>
      </c>
      <c r="GQ106">
        <v>-1</v>
      </c>
      <c r="GR106">
        <v>-1</v>
      </c>
    </row>
    <row r="107" spans="1:200" x14ac:dyDescent="0.2">
      <c r="A107">
        <f>ROW(Source!A45)</f>
        <v>45</v>
      </c>
      <c r="B107">
        <v>34748540</v>
      </c>
      <c r="C107">
        <v>34750853</v>
      </c>
      <c r="D107">
        <v>31709492</v>
      </c>
      <c r="E107">
        <v>1</v>
      </c>
      <c r="F107">
        <v>1</v>
      </c>
      <c r="G107">
        <v>1</v>
      </c>
      <c r="H107">
        <v>1</v>
      </c>
      <c r="I107" t="s">
        <v>257</v>
      </c>
      <c r="J107" t="s">
        <v>3</v>
      </c>
      <c r="K107" t="s">
        <v>258</v>
      </c>
      <c r="L107">
        <v>1191</v>
      </c>
      <c r="N107">
        <v>1013</v>
      </c>
      <c r="O107" t="s">
        <v>254</v>
      </c>
      <c r="P107" t="s">
        <v>254</v>
      </c>
      <c r="Q107">
        <v>1</v>
      </c>
      <c r="W107">
        <v>0</v>
      </c>
      <c r="X107">
        <v>-1417349443</v>
      </c>
      <c r="Y107">
        <v>0.05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12.5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0.05</v>
      </c>
      <c r="AU107" t="s">
        <v>3</v>
      </c>
      <c r="AV107">
        <v>2</v>
      </c>
      <c r="AW107">
        <v>2</v>
      </c>
      <c r="AX107">
        <v>34750855</v>
      </c>
      <c r="AY107">
        <v>1</v>
      </c>
      <c r="AZ107">
        <v>0</v>
      </c>
      <c r="BA107">
        <v>109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Y107*Source!I45</f>
        <v>0.1</v>
      </c>
      <c r="CY107">
        <f>AD107</f>
        <v>0</v>
      </c>
      <c r="CZ107">
        <f>AH107</f>
        <v>0</v>
      </c>
      <c r="DA107">
        <f>AL107</f>
        <v>1</v>
      </c>
      <c r="DB107">
        <f t="shared" si="21"/>
        <v>0</v>
      </c>
      <c r="DC107">
        <f t="shared" si="22"/>
        <v>0</v>
      </c>
      <c r="GQ107">
        <v>-1</v>
      </c>
      <c r="GR107">
        <v>-1</v>
      </c>
    </row>
    <row r="108" spans="1:200" x14ac:dyDescent="0.2">
      <c r="A108">
        <f>ROW(Source!A45)</f>
        <v>45</v>
      </c>
      <c r="B108">
        <v>34748540</v>
      </c>
      <c r="C108">
        <v>34750853</v>
      </c>
      <c r="D108">
        <v>31526753</v>
      </c>
      <c r="E108">
        <v>1</v>
      </c>
      <c r="F108">
        <v>1</v>
      </c>
      <c r="G108">
        <v>1</v>
      </c>
      <c r="H108">
        <v>2</v>
      </c>
      <c r="I108" t="s">
        <v>259</v>
      </c>
      <c r="J108" t="s">
        <v>260</v>
      </c>
      <c r="K108" t="s">
        <v>261</v>
      </c>
      <c r="L108">
        <v>1368</v>
      </c>
      <c r="N108">
        <v>1011</v>
      </c>
      <c r="O108" t="s">
        <v>262</v>
      </c>
      <c r="P108" t="s">
        <v>262</v>
      </c>
      <c r="Q108">
        <v>1</v>
      </c>
      <c r="W108">
        <v>0</v>
      </c>
      <c r="X108">
        <v>-1718674368</v>
      </c>
      <c r="Y108">
        <v>0.03</v>
      </c>
      <c r="AA108">
        <v>0</v>
      </c>
      <c r="AB108">
        <v>1399.88</v>
      </c>
      <c r="AC108">
        <v>13.5</v>
      </c>
      <c r="AD108">
        <v>0</v>
      </c>
      <c r="AE108">
        <v>0</v>
      </c>
      <c r="AF108">
        <v>111.99</v>
      </c>
      <c r="AG108">
        <v>13.5</v>
      </c>
      <c r="AH108">
        <v>0</v>
      </c>
      <c r="AI108">
        <v>1</v>
      </c>
      <c r="AJ108">
        <v>12.5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0.03</v>
      </c>
      <c r="AU108" t="s">
        <v>3</v>
      </c>
      <c r="AV108">
        <v>0</v>
      </c>
      <c r="AW108">
        <v>2</v>
      </c>
      <c r="AX108">
        <v>34750856</v>
      </c>
      <c r="AY108">
        <v>1</v>
      </c>
      <c r="AZ108">
        <v>0</v>
      </c>
      <c r="BA108">
        <v>110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Y108*Source!I45</f>
        <v>0.06</v>
      </c>
      <c r="CY108">
        <f>AB108</f>
        <v>1399.88</v>
      </c>
      <c r="CZ108">
        <f>AF108</f>
        <v>111.99</v>
      </c>
      <c r="DA108">
        <f>AJ108</f>
        <v>12.5</v>
      </c>
      <c r="DB108">
        <f t="shared" si="21"/>
        <v>3.36</v>
      </c>
      <c r="DC108">
        <f t="shared" si="22"/>
        <v>0.41</v>
      </c>
      <c r="GQ108">
        <v>-1</v>
      </c>
      <c r="GR108">
        <v>-1</v>
      </c>
    </row>
    <row r="109" spans="1:200" x14ac:dyDescent="0.2">
      <c r="A109">
        <f>ROW(Source!A45)</f>
        <v>45</v>
      </c>
      <c r="B109">
        <v>34748540</v>
      </c>
      <c r="C109">
        <v>34750853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266</v>
      </c>
      <c r="J109" t="s">
        <v>267</v>
      </c>
      <c r="K109" t="s">
        <v>268</v>
      </c>
      <c r="L109">
        <v>1368</v>
      </c>
      <c r="N109">
        <v>1011</v>
      </c>
      <c r="O109" t="s">
        <v>262</v>
      </c>
      <c r="P109" t="s">
        <v>262</v>
      </c>
      <c r="Q109">
        <v>1</v>
      </c>
      <c r="W109">
        <v>0</v>
      </c>
      <c r="X109">
        <v>1372534845</v>
      </c>
      <c r="Y109">
        <v>0.02</v>
      </c>
      <c r="AA109">
        <v>0</v>
      </c>
      <c r="AB109">
        <v>821.38</v>
      </c>
      <c r="AC109">
        <v>11.6</v>
      </c>
      <c r="AD109">
        <v>0</v>
      </c>
      <c r="AE109">
        <v>0</v>
      </c>
      <c r="AF109">
        <v>65.709999999999994</v>
      </c>
      <c r="AG109">
        <v>11.6</v>
      </c>
      <c r="AH109">
        <v>0</v>
      </c>
      <c r="AI109">
        <v>1</v>
      </c>
      <c r="AJ109">
        <v>12.5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34750857</v>
      </c>
      <c r="AY109">
        <v>1</v>
      </c>
      <c r="AZ109">
        <v>0</v>
      </c>
      <c r="BA109">
        <v>111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Y109*Source!I45</f>
        <v>0.04</v>
      </c>
      <c r="CY109">
        <f>AB109</f>
        <v>821.38</v>
      </c>
      <c r="CZ109">
        <f>AF109</f>
        <v>65.709999999999994</v>
      </c>
      <c r="DA109">
        <f>AJ109</f>
        <v>12.5</v>
      </c>
      <c r="DB109">
        <f t="shared" si="21"/>
        <v>1.31</v>
      </c>
      <c r="DC109">
        <f t="shared" si="22"/>
        <v>0.23</v>
      </c>
      <c r="GQ109">
        <v>-1</v>
      </c>
      <c r="GR109">
        <v>-1</v>
      </c>
    </row>
    <row r="110" spans="1:200" x14ac:dyDescent="0.2">
      <c r="A110">
        <f>ROW(Source!A45)</f>
        <v>45</v>
      </c>
      <c r="B110">
        <v>34748540</v>
      </c>
      <c r="C110">
        <v>34750853</v>
      </c>
      <c r="D110">
        <v>31446697</v>
      </c>
      <c r="E110">
        <v>1</v>
      </c>
      <c r="F110">
        <v>1</v>
      </c>
      <c r="G110">
        <v>1</v>
      </c>
      <c r="H110">
        <v>3</v>
      </c>
      <c r="I110" t="s">
        <v>342</v>
      </c>
      <c r="J110" t="s">
        <v>343</v>
      </c>
      <c r="K110" t="s">
        <v>344</v>
      </c>
      <c r="L110">
        <v>1346</v>
      </c>
      <c r="N110">
        <v>1009</v>
      </c>
      <c r="O110" t="s">
        <v>272</v>
      </c>
      <c r="P110" t="s">
        <v>272</v>
      </c>
      <c r="Q110">
        <v>1</v>
      </c>
      <c r="W110">
        <v>0</v>
      </c>
      <c r="X110">
        <v>-1088866022</v>
      </c>
      <c r="Y110">
        <v>0.06</v>
      </c>
      <c r="AA110">
        <v>380</v>
      </c>
      <c r="AB110">
        <v>0</v>
      </c>
      <c r="AC110">
        <v>0</v>
      </c>
      <c r="AD110">
        <v>0</v>
      </c>
      <c r="AE110">
        <v>30.4</v>
      </c>
      <c r="AF110">
        <v>0</v>
      </c>
      <c r="AG110">
        <v>0</v>
      </c>
      <c r="AH110">
        <v>0</v>
      </c>
      <c r="AI110">
        <v>12.5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0.06</v>
      </c>
      <c r="AU110" t="s">
        <v>3</v>
      </c>
      <c r="AV110">
        <v>0</v>
      </c>
      <c r="AW110">
        <v>2</v>
      </c>
      <c r="AX110">
        <v>34750858</v>
      </c>
      <c r="AY110">
        <v>1</v>
      </c>
      <c r="AZ110">
        <v>0</v>
      </c>
      <c r="BA110">
        <v>112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Y110*Source!I45</f>
        <v>0.12</v>
      </c>
      <c r="CY110">
        <f>AA110</f>
        <v>380</v>
      </c>
      <c r="CZ110">
        <f>AE110</f>
        <v>30.4</v>
      </c>
      <c r="DA110">
        <f>AI110</f>
        <v>12.5</v>
      </c>
      <c r="DB110">
        <f t="shared" si="21"/>
        <v>1.82</v>
      </c>
      <c r="DC110">
        <f t="shared" si="22"/>
        <v>0</v>
      </c>
      <c r="DH110">
        <f>Source!I45*SmtRes!Y110</f>
        <v>0.12</v>
      </c>
      <c r="DI110">
        <f>AA110</f>
        <v>380</v>
      </c>
      <c r="DJ110">
        <f>EtalonRes!Y112</f>
        <v>30.4</v>
      </c>
      <c r="DK110">
        <f>Source!BC45</f>
        <v>12.5</v>
      </c>
      <c r="GQ110">
        <v>-1</v>
      </c>
      <c r="GR110">
        <v>-1</v>
      </c>
    </row>
    <row r="111" spans="1:200" x14ac:dyDescent="0.2">
      <c r="A111">
        <f>ROW(Source!A45)</f>
        <v>45</v>
      </c>
      <c r="B111">
        <v>34748540</v>
      </c>
      <c r="C111">
        <v>34750853</v>
      </c>
      <c r="D111">
        <v>31449183</v>
      </c>
      <c r="E111">
        <v>1</v>
      </c>
      <c r="F111">
        <v>1</v>
      </c>
      <c r="G111">
        <v>1</v>
      </c>
      <c r="H111">
        <v>3</v>
      </c>
      <c r="I111" t="s">
        <v>345</v>
      </c>
      <c r="J111" t="s">
        <v>346</v>
      </c>
      <c r="K111" t="s">
        <v>347</v>
      </c>
      <c r="L111">
        <v>1355</v>
      </c>
      <c r="N111">
        <v>1010</v>
      </c>
      <c r="O111" t="s">
        <v>320</v>
      </c>
      <c r="P111" t="s">
        <v>320</v>
      </c>
      <c r="Q111">
        <v>100</v>
      </c>
      <c r="W111">
        <v>0</v>
      </c>
      <c r="X111">
        <v>1794244060</v>
      </c>
      <c r="Y111">
        <v>0.04</v>
      </c>
      <c r="AA111">
        <v>1075</v>
      </c>
      <c r="AB111">
        <v>0</v>
      </c>
      <c r="AC111">
        <v>0</v>
      </c>
      <c r="AD111">
        <v>0</v>
      </c>
      <c r="AE111">
        <v>86</v>
      </c>
      <c r="AF111">
        <v>0</v>
      </c>
      <c r="AG111">
        <v>0</v>
      </c>
      <c r="AH111">
        <v>0</v>
      </c>
      <c r="AI111">
        <v>12.5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0.04</v>
      </c>
      <c r="AU111" t="s">
        <v>3</v>
      </c>
      <c r="AV111">
        <v>0</v>
      </c>
      <c r="AW111">
        <v>2</v>
      </c>
      <c r="AX111">
        <v>34750859</v>
      </c>
      <c r="AY111">
        <v>1</v>
      </c>
      <c r="AZ111">
        <v>0</v>
      </c>
      <c r="BA111">
        <v>113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Y111*Source!I45</f>
        <v>0.08</v>
      </c>
      <c r="CY111">
        <f>AA111</f>
        <v>1075</v>
      </c>
      <c r="CZ111">
        <f>AE111</f>
        <v>86</v>
      </c>
      <c r="DA111">
        <f>AI111</f>
        <v>12.5</v>
      </c>
      <c r="DB111">
        <f t="shared" si="21"/>
        <v>3.44</v>
      </c>
      <c r="DC111">
        <f t="shared" si="22"/>
        <v>0</v>
      </c>
      <c r="DH111">
        <f>Source!I45*SmtRes!Y111</f>
        <v>0.08</v>
      </c>
      <c r="DI111">
        <f>AA111</f>
        <v>1075</v>
      </c>
      <c r="DJ111">
        <f>EtalonRes!Y113</f>
        <v>86</v>
      </c>
      <c r="DK111">
        <f>Source!BC45</f>
        <v>12.5</v>
      </c>
      <c r="GQ111">
        <v>-1</v>
      </c>
      <c r="GR111">
        <v>-1</v>
      </c>
    </row>
    <row r="112" spans="1:200" x14ac:dyDescent="0.2">
      <c r="A112">
        <f>ROW(Source!A45)</f>
        <v>45</v>
      </c>
      <c r="B112">
        <v>34748540</v>
      </c>
      <c r="C112">
        <v>34750853</v>
      </c>
      <c r="D112">
        <v>31482923</v>
      </c>
      <c r="E112">
        <v>1</v>
      </c>
      <c r="F112">
        <v>1</v>
      </c>
      <c r="G112">
        <v>1</v>
      </c>
      <c r="H112">
        <v>3</v>
      </c>
      <c r="I112" t="s">
        <v>304</v>
      </c>
      <c r="J112" t="s">
        <v>305</v>
      </c>
      <c r="K112" t="s">
        <v>306</v>
      </c>
      <c r="L112">
        <v>1346</v>
      </c>
      <c r="N112">
        <v>1009</v>
      </c>
      <c r="O112" t="s">
        <v>272</v>
      </c>
      <c r="P112" t="s">
        <v>272</v>
      </c>
      <c r="Q112">
        <v>1</v>
      </c>
      <c r="W112">
        <v>0</v>
      </c>
      <c r="X112">
        <v>210558753</v>
      </c>
      <c r="Y112">
        <v>0.02</v>
      </c>
      <c r="AA112">
        <v>357.5</v>
      </c>
      <c r="AB112">
        <v>0</v>
      </c>
      <c r="AC112">
        <v>0</v>
      </c>
      <c r="AD112">
        <v>0</v>
      </c>
      <c r="AE112">
        <v>28.6</v>
      </c>
      <c r="AF112">
        <v>0</v>
      </c>
      <c r="AG112">
        <v>0</v>
      </c>
      <c r="AH112">
        <v>0</v>
      </c>
      <c r="AI112">
        <v>12.5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34750860</v>
      </c>
      <c r="AY112">
        <v>1</v>
      </c>
      <c r="AZ112">
        <v>0</v>
      </c>
      <c r="BA112">
        <v>114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Y112*Source!I45</f>
        <v>0.04</v>
      </c>
      <c r="CY112">
        <f>AA112</f>
        <v>357.5</v>
      </c>
      <c r="CZ112">
        <f>AE112</f>
        <v>28.6</v>
      </c>
      <c r="DA112">
        <f>AI112</f>
        <v>12.5</v>
      </c>
      <c r="DB112">
        <f t="shared" si="21"/>
        <v>0.56999999999999995</v>
      </c>
      <c r="DC112">
        <f t="shared" si="22"/>
        <v>0</v>
      </c>
      <c r="DH112">
        <f>Source!I45*SmtRes!Y112</f>
        <v>0.04</v>
      </c>
      <c r="DI112">
        <f>AA112</f>
        <v>357.5</v>
      </c>
      <c r="DJ112">
        <f>EtalonRes!Y114</f>
        <v>28.6</v>
      </c>
      <c r="DK112">
        <f>Source!BC45</f>
        <v>12.5</v>
      </c>
      <c r="GQ112">
        <v>-1</v>
      </c>
      <c r="GR112">
        <v>-1</v>
      </c>
    </row>
    <row r="113" spans="1:200" x14ac:dyDescent="0.2">
      <c r="A113">
        <f>ROW(Source!A45)</f>
        <v>45</v>
      </c>
      <c r="B113">
        <v>34748540</v>
      </c>
      <c r="C113">
        <v>34750853</v>
      </c>
      <c r="D113">
        <v>31482960</v>
      </c>
      <c r="E113">
        <v>1</v>
      </c>
      <c r="F113">
        <v>1</v>
      </c>
      <c r="G113">
        <v>1</v>
      </c>
      <c r="H113">
        <v>3</v>
      </c>
      <c r="I113" t="s">
        <v>348</v>
      </c>
      <c r="J113" t="s">
        <v>349</v>
      </c>
      <c r="K113" t="s">
        <v>350</v>
      </c>
      <c r="L113">
        <v>1348</v>
      </c>
      <c r="N113">
        <v>1009</v>
      </c>
      <c r="O113" t="s">
        <v>290</v>
      </c>
      <c r="P113" t="s">
        <v>290</v>
      </c>
      <c r="Q113">
        <v>1000</v>
      </c>
      <c r="W113">
        <v>0</v>
      </c>
      <c r="X113">
        <v>-108263514</v>
      </c>
      <c r="Y113">
        <v>5.8E-4</v>
      </c>
      <c r="AA113">
        <v>97836.25</v>
      </c>
      <c r="AB113">
        <v>0</v>
      </c>
      <c r="AC113">
        <v>0</v>
      </c>
      <c r="AD113">
        <v>0</v>
      </c>
      <c r="AE113">
        <v>7826.9</v>
      </c>
      <c r="AF113">
        <v>0</v>
      </c>
      <c r="AG113">
        <v>0</v>
      </c>
      <c r="AH113">
        <v>0</v>
      </c>
      <c r="AI113">
        <v>12.5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5.8E-4</v>
      </c>
      <c r="AU113" t="s">
        <v>3</v>
      </c>
      <c r="AV113">
        <v>0</v>
      </c>
      <c r="AW113">
        <v>2</v>
      </c>
      <c r="AX113">
        <v>34750861</v>
      </c>
      <c r="AY113">
        <v>1</v>
      </c>
      <c r="AZ113">
        <v>0</v>
      </c>
      <c r="BA113">
        <v>115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Y113*Source!I45</f>
        <v>1.16E-3</v>
      </c>
      <c r="CY113">
        <f>AA113</f>
        <v>97836.25</v>
      </c>
      <c r="CZ113">
        <f>AE113</f>
        <v>7826.9</v>
      </c>
      <c r="DA113">
        <f>AI113</f>
        <v>12.5</v>
      </c>
      <c r="DB113">
        <f t="shared" si="21"/>
        <v>4.54</v>
      </c>
      <c r="DC113">
        <f t="shared" si="22"/>
        <v>0</v>
      </c>
      <c r="DH113">
        <f>Source!I45*SmtRes!Y113</f>
        <v>1.16E-3</v>
      </c>
      <c r="DI113">
        <f>AA113</f>
        <v>97836.25</v>
      </c>
      <c r="DJ113">
        <f>EtalonRes!Y115</f>
        <v>7826.9</v>
      </c>
      <c r="DK113">
        <f>Source!BC45</f>
        <v>12.5</v>
      </c>
      <c r="GQ113">
        <v>-1</v>
      </c>
      <c r="GR113">
        <v>-1</v>
      </c>
    </row>
    <row r="114" spans="1:200" x14ac:dyDescent="0.2">
      <c r="A114">
        <f>ROW(Source!A45)</f>
        <v>45</v>
      </c>
      <c r="B114">
        <v>34748540</v>
      </c>
      <c r="C114">
        <v>34750853</v>
      </c>
      <c r="D114">
        <v>31443668</v>
      </c>
      <c r="E114">
        <v>17</v>
      </c>
      <c r="F114">
        <v>1</v>
      </c>
      <c r="G114">
        <v>1</v>
      </c>
      <c r="H114">
        <v>3</v>
      </c>
      <c r="I114" t="s">
        <v>277</v>
      </c>
      <c r="J114" t="s">
        <v>3</v>
      </c>
      <c r="K114" t="s">
        <v>278</v>
      </c>
      <c r="L114">
        <v>1374</v>
      </c>
      <c r="N114">
        <v>1013</v>
      </c>
      <c r="O114" t="s">
        <v>279</v>
      </c>
      <c r="P114" t="s">
        <v>279</v>
      </c>
      <c r="Q114">
        <v>1</v>
      </c>
      <c r="W114">
        <v>0</v>
      </c>
      <c r="X114">
        <v>-1731369543</v>
      </c>
      <c r="Y114">
        <v>0.71</v>
      </c>
      <c r="AA114">
        <v>12.5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12.5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0.71</v>
      </c>
      <c r="AU114" t="s">
        <v>3</v>
      </c>
      <c r="AV114">
        <v>0</v>
      </c>
      <c r="AW114">
        <v>2</v>
      </c>
      <c r="AX114">
        <v>34750862</v>
      </c>
      <c r="AY114">
        <v>1</v>
      </c>
      <c r="AZ114">
        <v>0</v>
      </c>
      <c r="BA114">
        <v>116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Y114*Source!I45</f>
        <v>1.42</v>
      </c>
      <c r="CY114">
        <f>AA114</f>
        <v>12.5</v>
      </c>
      <c r="CZ114">
        <f>AE114</f>
        <v>1</v>
      </c>
      <c r="DA114">
        <f>AI114</f>
        <v>12.5</v>
      </c>
      <c r="DB114">
        <f t="shared" si="21"/>
        <v>0.71</v>
      </c>
      <c r="DC114">
        <f t="shared" si="22"/>
        <v>0</v>
      </c>
      <c r="DH114">
        <f>Source!I45*SmtRes!Y114</f>
        <v>1.42</v>
      </c>
      <c r="DI114">
        <f>AA114</f>
        <v>12.5</v>
      </c>
      <c r="DJ114">
        <f>EtalonRes!Y116</f>
        <v>1</v>
      </c>
      <c r="DK114">
        <f>Source!BC45</f>
        <v>12.5</v>
      </c>
      <c r="GQ114">
        <v>-1</v>
      </c>
      <c r="GR114">
        <v>-1</v>
      </c>
    </row>
    <row r="115" spans="1:200" x14ac:dyDescent="0.2">
      <c r="A115">
        <f>ROW(Source!A46)</f>
        <v>46</v>
      </c>
      <c r="B115">
        <v>34748518</v>
      </c>
      <c r="C115">
        <v>34750866</v>
      </c>
      <c r="D115">
        <v>31725395</v>
      </c>
      <c r="E115">
        <v>1</v>
      </c>
      <c r="F115">
        <v>1</v>
      </c>
      <c r="G115">
        <v>1</v>
      </c>
      <c r="H115">
        <v>1</v>
      </c>
      <c r="I115" t="s">
        <v>307</v>
      </c>
      <c r="J115" t="s">
        <v>3</v>
      </c>
      <c r="K115" t="s">
        <v>308</v>
      </c>
      <c r="L115">
        <v>1191</v>
      </c>
      <c r="N115">
        <v>1013</v>
      </c>
      <c r="O115" t="s">
        <v>254</v>
      </c>
      <c r="P115" t="s">
        <v>254</v>
      </c>
      <c r="Q115">
        <v>1</v>
      </c>
      <c r="W115">
        <v>0</v>
      </c>
      <c r="X115">
        <v>912892513</v>
      </c>
      <c r="Y115">
        <v>0.52</v>
      </c>
      <c r="AA115">
        <v>0</v>
      </c>
      <c r="AB115">
        <v>0</v>
      </c>
      <c r="AC115">
        <v>0</v>
      </c>
      <c r="AD115">
        <v>9.92</v>
      </c>
      <c r="AE115">
        <v>0</v>
      </c>
      <c r="AF115">
        <v>0</v>
      </c>
      <c r="AG115">
        <v>0</v>
      </c>
      <c r="AH115">
        <v>9.92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0.52</v>
      </c>
      <c r="AU115" t="s">
        <v>3</v>
      </c>
      <c r="AV115">
        <v>1</v>
      </c>
      <c r="AW115">
        <v>2</v>
      </c>
      <c r="AX115">
        <v>34750867</v>
      </c>
      <c r="AY115">
        <v>1</v>
      </c>
      <c r="AZ115">
        <v>0</v>
      </c>
      <c r="BA115">
        <v>117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Y115*Source!I46</f>
        <v>8.32</v>
      </c>
      <c r="CY115">
        <f>AD115</f>
        <v>9.92</v>
      </c>
      <c r="CZ115">
        <f>AH115</f>
        <v>9.92</v>
      </c>
      <c r="DA115">
        <f>AL115</f>
        <v>1</v>
      </c>
      <c r="DB115">
        <f t="shared" si="21"/>
        <v>5.16</v>
      </c>
      <c r="DC115">
        <f t="shared" si="22"/>
        <v>0</v>
      </c>
      <c r="GQ115">
        <v>-1</v>
      </c>
      <c r="GR115">
        <v>-1</v>
      </c>
    </row>
    <row r="116" spans="1:200" x14ac:dyDescent="0.2">
      <c r="A116">
        <f>ROW(Source!A46)</f>
        <v>46</v>
      </c>
      <c r="B116">
        <v>34748518</v>
      </c>
      <c r="C116">
        <v>34750866</v>
      </c>
      <c r="D116">
        <v>31449041</v>
      </c>
      <c r="E116">
        <v>1</v>
      </c>
      <c r="F116">
        <v>1</v>
      </c>
      <c r="G116">
        <v>1</v>
      </c>
      <c r="H116">
        <v>3</v>
      </c>
      <c r="I116" t="s">
        <v>351</v>
      </c>
      <c r="J116" t="s">
        <v>352</v>
      </c>
      <c r="K116" t="s">
        <v>353</v>
      </c>
      <c r="L116">
        <v>1346</v>
      </c>
      <c r="N116">
        <v>1009</v>
      </c>
      <c r="O116" t="s">
        <v>272</v>
      </c>
      <c r="P116" t="s">
        <v>272</v>
      </c>
      <c r="Q116">
        <v>1</v>
      </c>
      <c r="W116">
        <v>0</v>
      </c>
      <c r="X116">
        <v>-70943466</v>
      </c>
      <c r="Y116">
        <v>3.5000000000000003E-2</v>
      </c>
      <c r="AA116">
        <v>28.22</v>
      </c>
      <c r="AB116">
        <v>0</v>
      </c>
      <c r="AC116">
        <v>0</v>
      </c>
      <c r="AD116">
        <v>0</v>
      </c>
      <c r="AE116">
        <v>28.22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3.5000000000000003E-2</v>
      </c>
      <c r="AU116" t="s">
        <v>3</v>
      </c>
      <c r="AV116">
        <v>0</v>
      </c>
      <c r="AW116">
        <v>2</v>
      </c>
      <c r="AX116">
        <v>34750868</v>
      </c>
      <c r="AY116">
        <v>1</v>
      </c>
      <c r="AZ116">
        <v>0</v>
      </c>
      <c r="BA116">
        <v>118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Y116*Source!I46</f>
        <v>0.56000000000000005</v>
      </c>
      <c r="CY116">
        <f>AA116</f>
        <v>28.22</v>
      </c>
      <c r="CZ116">
        <f>AE116</f>
        <v>28.22</v>
      </c>
      <c r="DA116">
        <f>AI116</f>
        <v>1</v>
      </c>
      <c r="DB116">
        <f t="shared" si="21"/>
        <v>0.99</v>
      </c>
      <c r="DC116">
        <f t="shared" si="22"/>
        <v>0</v>
      </c>
      <c r="DH116">
        <f>Source!I46*SmtRes!Y116</f>
        <v>0.56000000000000005</v>
      </c>
      <c r="DI116">
        <f>AA116</f>
        <v>28.22</v>
      </c>
      <c r="DJ116">
        <f>EtalonRes!Y118</f>
        <v>28.22</v>
      </c>
      <c r="DK116">
        <f>Source!BC46</f>
        <v>1</v>
      </c>
      <c r="GQ116">
        <v>-1</v>
      </c>
      <c r="GR116">
        <v>-1</v>
      </c>
    </row>
    <row r="117" spans="1:200" x14ac:dyDescent="0.2">
      <c r="A117">
        <f>ROW(Source!A46)</f>
        <v>46</v>
      </c>
      <c r="B117">
        <v>34748518</v>
      </c>
      <c r="C117">
        <v>34750866</v>
      </c>
      <c r="D117">
        <v>31443668</v>
      </c>
      <c r="E117">
        <v>17</v>
      </c>
      <c r="F117">
        <v>1</v>
      </c>
      <c r="G117">
        <v>1</v>
      </c>
      <c r="H117">
        <v>3</v>
      </c>
      <c r="I117" t="s">
        <v>277</v>
      </c>
      <c r="J117" t="s">
        <v>3</v>
      </c>
      <c r="K117" t="s">
        <v>278</v>
      </c>
      <c r="L117">
        <v>1374</v>
      </c>
      <c r="N117">
        <v>1013</v>
      </c>
      <c r="O117" t="s">
        <v>279</v>
      </c>
      <c r="P117" t="s">
        <v>279</v>
      </c>
      <c r="Q117">
        <v>1</v>
      </c>
      <c r="W117">
        <v>0</v>
      </c>
      <c r="X117">
        <v>-1731369543</v>
      </c>
      <c r="Y117">
        <v>0.1</v>
      </c>
      <c r="AA117">
        <v>1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0.1</v>
      </c>
      <c r="AU117" t="s">
        <v>3</v>
      </c>
      <c r="AV117">
        <v>0</v>
      </c>
      <c r="AW117">
        <v>2</v>
      </c>
      <c r="AX117">
        <v>34750869</v>
      </c>
      <c r="AY117">
        <v>1</v>
      </c>
      <c r="AZ117">
        <v>0</v>
      </c>
      <c r="BA117">
        <v>119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Y117*Source!I46</f>
        <v>1.6</v>
      </c>
      <c r="CY117">
        <f>AA117</f>
        <v>1</v>
      </c>
      <c r="CZ117">
        <f>AE117</f>
        <v>1</v>
      </c>
      <c r="DA117">
        <f>AI117</f>
        <v>1</v>
      </c>
      <c r="DB117">
        <f t="shared" si="21"/>
        <v>0.1</v>
      </c>
      <c r="DC117">
        <f t="shared" si="22"/>
        <v>0</v>
      </c>
      <c r="DH117">
        <f>Source!I46*SmtRes!Y117</f>
        <v>1.6</v>
      </c>
      <c r="DI117">
        <f>AA117</f>
        <v>1</v>
      </c>
      <c r="DJ117">
        <f>EtalonRes!Y119</f>
        <v>1</v>
      </c>
      <c r="DK117">
        <f>Source!BC46</f>
        <v>1</v>
      </c>
      <c r="GQ117">
        <v>-1</v>
      </c>
      <c r="GR117">
        <v>-1</v>
      </c>
    </row>
    <row r="118" spans="1:200" x14ac:dyDescent="0.2">
      <c r="A118">
        <f>ROW(Source!A47)</f>
        <v>47</v>
      </c>
      <c r="B118">
        <v>34748540</v>
      </c>
      <c r="C118">
        <v>34750866</v>
      </c>
      <c r="D118">
        <v>31725395</v>
      </c>
      <c r="E118">
        <v>1</v>
      </c>
      <c r="F118">
        <v>1</v>
      </c>
      <c r="G118">
        <v>1</v>
      </c>
      <c r="H118">
        <v>1</v>
      </c>
      <c r="I118" t="s">
        <v>307</v>
      </c>
      <c r="J118" t="s">
        <v>3</v>
      </c>
      <c r="K118" t="s">
        <v>308</v>
      </c>
      <c r="L118">
        <v>1191</v>
      </c>
      <c r="N118">
        <v>1013</v>
      </c>
      <c r="O118" t="s">
        <v>254</v>
      </c>
      <c r="P118" t="s">
        <v>254</v>
      </c>
      <c r="Q118">
        <v>1</v>
      </c>
      <c r="W118">
        <v>0</v>
      </c>
      <c r="X118">
        <v>912892513</v>
      </c>
      <c r="Y118">
        <v>0.52</v>
      </c>
      <c r="AA118">
        <v>0</v>
      </c>
      <c r="AB118">
        <v>0</v>
      </c>
      <c r="AC118">
        <v>0</v>
      </c>
      <c r="AD118">
        <v>124</v>
      </c>
      <c r="AE118">
        <v>0</v>
      </c>
      <c r="AF118">
        <v>0</v>
      </c>
      <c r="AG118">
        <v>0</v>
      </c>
      <c r="AH118">
        <v>9.92</v>
      </c>
      <c r="AI118">
        <v>1</v>
      </c>
      <c r="AJ118">
        <v>1</v>
      </c>
      <c r="AK118">
        <v>1</v>
      </c>
      <c r="AL118">
        <v>12.5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0.52</v>
      </c>
      <c r="AU118" t="s">
        <v>3</v>
      </c>
      <c r="AV118">
        <v>1</v>
      </c>
      <c r="AW118">
        <v>2</v>
      </c>
      <c r="AX118">
        <v>34750867</v>
      </c>
      <c r="AY118">
        <v>1</v>
      </c>
      <c r="AZ118">
        <v>0</v>
      </c>
      <c r="BA118">
        <v>120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Y118*Source!I47</f>
        <v>8.32</v>
      </c>
      <c r="CY118">
        <f>AD118</f>
        <v>124</v>
      </c>
      <c r="CZ118">
        <f>AH118</f>
        <v>9.92</v>
      </c>
      <c r="DA118">
        <f>AL118</f>
        <v>12.5</v>
      </c>
      <c r="DB118">
        <f t="shared" si="21"/>
        <v>5.16</v>
      </c>
      <c r="DC118">
        <f t="shared" si="22"/>
        <v>0</v>
      </c>
      <c r="GQ118">
        <v>-1</v>
      </c>
      <c r="GR118">
        <v>-1</v>
      </c>
    </row>
    <row r="119" spans="1:200" x14ac:dyDescent="0.2">
      <c r="A119">
        <f>ROW(Source!A47)</f>
        <v>47</v>
      </c>
      <c r="B119">
        <v>34748540</v>
      </c>
      <c r="C119">
        <v>34750866</v>
      </c>
      <c r="D119">
        <v>31449041</v>
      </c>
      <c r="E119">
        <v>1</v>
      </c>
      <c r="F119">
        <v>1</v>
      </c>
      <c r="G119">
        <v>1</v>
      </c>
      <c r="H119">
        <v>3</v>
      </c>
      <c r="I119" t="s">
        <v>351</v>
      </c>
      <c r="J119" t="s">
        <v>352</v>
      </c>
      <c r="K119" t="s">
        <v>353</v>
      </c>
      <c r="L119">
        <v>1346</v>
      </c>
      <c r="N119">
        <v>1009</v>
      </c>
      <c r="O119" t="s">
        <v>272</v>
      </c>
      <c r="P119" t="s">
        <v>272</v>
      </c>
      <c r="Q119">
        <v>1</v>
      </c>
      <c r="W119">
        <v>0</v>
      </c>
      <c r="X119">
        <v>-70943466</v>
      </c>
      <c r="Y119">
        <v>3.5000000000000003E-2</v>
      </c>
      <c r="AA119">
        <v>352.75</v>
      </c>
      <c r="AB119">
        <v>0</v>
      </c>
      <c r="AC119">
        <v>0</v>
      </c>
      <c r="AD119">
        <v>0</v>
      </c>
      <c r="AE119">
        <v>28.22</v>
      </c>
      <c r="AF119">
        <v>0</v>
      </c>
      <c r="AG119">
        <v>0</v>
      </c>
      <c r="AH119">
        <v>0</v>
      </c>
      <c r="AI119">
        <v>12.5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3.5000000000000003E-2</v>
      </c>
      <c r="AU119" t="s">
        <v>3</v>
      </c>
      <c r="AV119">
        <v>0</v>
      </c>
      <c r="AW119">
        <v>2</v>
      </c>
      <c r="AX119">
        <v>34750868</v>
      </c>
      <c r="AY119">
        <v>1</v>
      </c>
      <c r="AZ119">
        <v>0</v>
      </c>
      <c r="BA119">
        <v>121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Y119*Source!I47</f>
        <v>0.56000000000000005</v>
      </c>
      <c r="CY119">
        <f>AA119</f>
        <v>352.75</v>
      </c>
      <c r="CZ119">
        <f>AE119</f>
        <v>28.22</v>
      </c>
      <c r="DA119">
        <f>AI119</f>
        <v>12.5</v>
      </c>
      <c r="DB119">
        <f t="shared" si="21"/>
        <v>0.99</v>
      </c>
      <c r="DC119">
        <f t="shared" si="22"/>
        <v>0</v>
      </c>
      <c r="DH119">
        <f>Source!I47*SmtRes!Y119</f>
        <v>0.56000000000000005</v>
      </c>
      <c r="DI119">
        <f>AA119</f>
        <v>352.75</v>
      </c>
      <c r="DJ119">
        <f>EtalonRes!Y121</f>
        <v>28.22</v>
      </c>
      <c r="DK119">
        <f>Source!BC47</f>
        <v>12.5</v>
      </c>
      <c r="GQ119">
        <v>-1</v>
      </c>
      <c r="GR119">
        <v>-1</v>
      </c>
    </row>
    <row r="120" spans="1:200" x14ac:dyDescent="0.2">
      <c r="A120">
        <f>ROW(Source!A47)</f>
        <v>47</v>
      </c>
      <c r="B120">
        <v>34748540</v>
      </c>
      <c r="C120">
        <v>34750866</v>
      </c>
      <c r="D120">
        <v>31443668</v>
      </c>
      <c r="E120">
        <v>17</v>
      </c>
      <c r="F120">
        <v>1</v>
      </c>
      <c r="G120">
        <v>1</v>
      </c>
      <c r="H120">
        <v>3</v>
      </c>
      <c r="I120" t="s">
        <v>277</v>
      </c>
      <c r="J120" t="s">
        <v>3</v>
      </c>
      <c r="K120" t="s">
        <v>278</v>
      </c>
      <c r="L120">
        <v>1374</v>
      </c>
      <c r="N120">
        <v>1013</v>
      </c>
      <c r="O120" t="s">
        <v>279</v>
      </c>
      <c r="P120" t="s">
        <v>279</v>
      </c>
      <c r="Q120">
        <v>1</v>
      </c>
      <c r="W120">
        <v>0</v>
      </c>
      <c r="X120">
        <v>-1731369543</v>
      </c>
      <c r="Y120">
        <v>0.1</v>
      </c>
      <c r="AA120">
        <v>12.5</v>
      </c>
      <c r="AB120">
        <v>0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12.5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</v>
      </c>
      <c r="AU120" t="s">
        <v>3</v>
      </c>
      <c r="AV120">
        <v>0</v>
      </c>
      <c r="AW120">
        <v>2</v>
      </c>
      <c r="AX120">
        <v>34750869</v>
      </c>
      <c r="AY120">
        <v>1</v>
      </c>
      <c r="AZ120">
        <v>0</v>
      </c>
      <c r="BA120">
        <v>122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Y120*Source!I47</f>
        <v>1.6</v>
      </c>
      <c r="CY120">
        <f>AA120</f>
        <v>12.5</v>
      </c>
      <c r="CZ120">
        <f>AE120</f>
        <v>1</v>
      </c>
      <c r="DA120">
        <f>AI120</f>
        <v>12.5</v>
      </c>
      <c r="DB120">
        <f t="shared" si="21"/>
        <v>0.1</v>
      </c>
      <c r="DC120">
        <f t="shared" si="22"/>
        <v>0</v>
      </c>
      <c r="DH120">
        <f>Source!I47*SmtRes!Y120</f>
        <v>1.6</v>
      </c>
      <c r="DI120">
        <f>AA120</f>
        <v>12.5</v>
      </c>
      <c r="DJ120">
        <f>EtalonRes!Y122</f>
        <v>1</v>
      </c>
      <c r="DK120">
        <f>Source!BC47</f>
        <v>12.5</v>
      </c>
      <c r="GQ120">
        <v>-1</v>
      </c>
      <c r="GR120">
        <v>-1</v>
      </c>
    </row>
    <row r="121" spans="1:200" x14ac:dyDescent="0.2">
      <c r="A121">
        <f>ROW(Source!A48)</f>
        <v>48</v>
      </c>
      <c r="B121">
        <v>34748518</v>
      </c>
      <c r="C121">
        <v>34750997</v>
      </c>
      <c r="D121">
        <v>32163921</v>
      </c>
      <c r="E121">
        <v>1</v>
      </c>
      <c r="F121">
        <v>1</v>
      </c>
      <c r="G121">
        <v>1</v>
      </c>
      <c r="H121">
        <v>1</v>
      </c>
      <c r="I121" t="s">
        <v>354</v>
      </c>
      <c r="J121" t="s">
        <v>3</v>
      </c>
      <c r="K121" t="s">
        <v>355</v>
      </c>
      <c r="L121">
        <v>1191</v>
      </c>
      <c r="N121">
        <v>1013</v>
      </c>
      <c r="O121" t="s">
        <v>254</v>
      </c>
      <c r="P121" t="s">
        <v>254</v>
      </c>
      <c r="Q121">
        <v>1</v>
      </c>
      <c r="W121">
        <v>0</v>
      </c>
      <c r="X121">
        <v>1688654847</v>
      </c>
      <c r="Y121">
        <v>6.4</v>
      </c>
      <c r="AA121">
        <v>0</v>
      </c>
      <c r="AB121">
        <v>0</v>
      </c>
      <c r="AC121">
        <v>0</v>
      </c>
      <c r="AD121">
        <v>10.210000000000001</v>
      </c>
      <c r="AE121">
        <v>0</v>
      </c>
      <c r="AF121">
        <v>0</v>
      </c>
      <c r="AG121">
        <v>0</v>
      </c>
      <c r="AH121">
        <v>10.210000000000001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6.4</v>
      </c>
      <c r="AU121" t="s">
        <v>3</v>
      </c>
      <c r="AV121">
        <v>1</v>
      </c>
      <c r="AW121">
        <v>2</v>
      </c>
      <c r="AX121">
        <v>34750998</v>
      </c>
      <c r="AY121">
        <v>1</v>
      </c>
      <c r="AZ121">
        <v>0</v>
      </c>
      <c r="BA121">
        <v>123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Y121*Source!I48</f>
        <v>6.4</v>
      </c>
      <c r="CY121">
        <f t="shared" ref="CY121:CY140" si="23">AD121</f>
        <v>10.210000000000001</v>
      </c>
      <c r="CZ121">
        <f t="shared" ref="CZ121:CZ140" si="24">AH121</f>
        <v>10.210000000000001</v>
      </c>
      <c r="DA121">
        <f t="shared" ref="DA121:DA140" si="25">AL121</f>
        <v>1</v>
      </c>
      <c r="DB121">
        <f t="shared" si="21"/>
        <v>65.34</v>
      </c>
      <c r="DC121">
        <f t="shared" si="22"/>
        <v>0</v>
      </c>
      <c r="GQ121">
        <v>-1</v>
      </c>
      <c r="GR121">
        <v>-1</v>
      </c>
    </row>
    <row r="122" spans="1:200" x14ac:dyDescent="0.2">
      <c r="A122">
        <f>ROW(Source!A48)</f>
        <v>48</v>
      </c>
      <c r="B122">
        <v>34748518</v>
      </c>
      <c r="C122">
        <v>34750997</v>
      </c>
      <c r="D122">
        <v>32159941</v>
      </c>
      <c r="E122">
        <v>1</v>
      </c>
      <c r="F122">
        <v>1</v>
      </c>
      <c r="G122">
        <v>1</v>
      </c>
      <c r="H122">
        <v>1</v>
      </c>
      <c r="I122" t="s">
        <v>356</v>
      </c>
      <c r="J122" t="s">
        <v>3</v>
      </c>
      <c r="K122" t="s">
        <v>357</v>
      </c>
      <c r="L122">
        <v>1191</v>
      </c>
      <c r="N122">
        <v>1013</v>
      </c>
      <c r="O122" t="s">
        <v>254</v>
      </c>
      <c r="P122" t="s">
        <v>254</v>
      </c>
      <c r="Q122">
        <v>1</v>
      </c>
      <c r="W122">
        <v>0</v>
      </c>
      <c r="X122">
        <v>1675274105</v>
      </c>
      <c r="Y122">
        <v>12.8</v>
      </c>
      <c r="AA122">
        <v>0</v>
      </c>
      <c r="AB122">
        <v>0</v>
      </c>
      <c r="AC122">
        <v>0</v>
      </c>
      <c r="AD122">
        <v>16.93</v>
      </c>
      <c r="AE122">
        <v>0</v>
      </c>
      <c r="AF122">
        <v>0</v>
      </c>
      <c r="AG122">
        <v>0</v>
      </c>
      <c r="AH122">
        <v>16.93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12.8</v>
      </c>
      <c r="AU122" t="s">
        <v>3</v>
      </c>
      <c r="AV122">
        <v>1</v>
      </c>
      <c r="AW122">
        <v>2</v>
      </c>
      <c r="AX122">
        <v>34750999</v>
      </c>
      <c r="AY122">
        <v>1</v>
      </c>
      <c r="AZ122">
        <v>0</v>
      </c>
      <c r="BA122">
        <v>124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Y122*Source!I48</f>
        <v>12.8</v>
      </c>
      <c r="CY122">
        <f t="shared" si="23"/>
        <v>16.93</v>
      </c>
      <c r="CZ122">
        <f t="shared" si="24"/>
        <v>16.93</v>
      </c>
      <c r="DA122">
        <f t="shared" si="25"/>
        <v>1</v>
      </c>
      <c r="DB122">
        <f t="shared" si="21"/>
        <v>216.7</v>
      </c>
      <c r="DC122">
        <f t="shared" si="22"/>
        <v>0</v>
      </c>
      <c r="GQ122">
        <v>-1</v>
      </c>
      <c r="GR122">
        <v>-1</v>
      </c>
    </row>
    <row r="123" spans="1:200" x14ac:dyDescent="0.2">
      <c r="A123">
        <f>ROW(Source!A48)</f>
        <v>48</v>
      </c>
      <c r="B123">
        <v>34748518</v>
      </c>
      <c r="C123">
        <v>34750997</v>
      </c>
      <c r="D123">
        <v>32000304</v>
      </c>
      <c r="E123">
        <v>1</v>
      </c>
      <c r="F123">
        <v>1</v>
      </c>
      <c r="G123">
        <v>1</v>
      </c>
      <c r="H123">
        <v>1</v>
      </c>
      <c r="I123" t="s">
        <v>358</v>
      </c>
      <c r="J123" t="s">
        <v>3</v>
      </c>
      <c r="K123" t="s">
        <v>359</v>
      </c>
      <c r="L123">
        <v>1191</v>
      </c>
      <c r="N123">
        <v>1013</v>
      </c>
      <c r="O123" t="s">
        <v>254</v>
      </c>
      <c r="P123" t="s">
        <v>254</v>
      </c>
      <c r="Q123">
        <v>1</v>
      </c>
      <c r="W123">
        <v>0</v>
      </c>
      <c r="X123">
        <v>-1481893445</v>
      </c>
      <c r="Y123">
        <v>25.6</v>
      </c>
      <c r="AA123">
        <v>0</v>
      </c>
      <c r="AB123">
        <v>0</v>
      </c>
      <c r="AC123">
        <v>0</v>
      </c>
      <c r="AD123">
        <v>15.49</v>
      </c>
      <c r="AE123">
        <v>0</v>
      </c>
      <c r="AF123">
        <v>0</v>
      </c>
      <c r="AG123">
        <v>0</v>
      </c>
      <c r="AH123">
        <v>15.49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25.6</v>
      </c>
      <c r="AU123" t="s">
        <v>3</v>
      </c>
      <c r="AV123">
        <v>1</v>
      </c>
      <c r="AW123">
        <v>2</v>
      </c>
      <c r="AX123">
        <v>34751000</v>
      </c>
      <c r="AY123">
        <v>1</v>
      </c>
      <c r="AZ123">
        <v>0</v>
      </c>
      <c r="BA123">
        <v>125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Y123*Source!I48</f>
        <v>25.6</v>
      </c>
      <c r="CY123">
        <f t="shared" si="23"/>
        <v>15.49</v>
      </c>
      <c r="CZ123">
        <f t="shared" si="24"/>
        <v>15.49</v>
      </c>
      <c r="DA123">
        <f t="shared" si="25"/>
        <v>1</v>
      </c>
      <c r="DB123">
        <f t="shared" si="21"/>
        <v>396.54</v>
      </c>
      <c r="DC123">
        <f t="shared" si="22"/>
        <v>0</v>
      </c>
      <c r="GQ123">
        <v>-1</v>
      </c>
      <c r="GR123">
        <v>-1</v>
      </c>
    </row>
    <row r="124" spans="1:200" x14ac:dyDescent="0.2">
      <c r="A124">
        <f>ROW(Source!A48)</f>
        <v>48</v>
      </c>
      <c r="B124">
        <v>34748518</v>
      </c>
      <c r="C124">
        <v>34750997</v>
      </c>
      <c r="D124">
        <v>32003081</v>
      </c>
      <c r="E124">
        <v>1</v>
      </c>
      <c r="F124">
        <v>1</v>
      </c>
      <c r="G124">
        <v>1</v>
      </c>
      <c r="H124">
        <v>1</v>
      </c>
      <c r="I124" t="s">
        <v>360</v>
      </c>
      <c r="J124" t="s">
        <v>3</v>
      </c>
      <c r="K124" t="s">
        <v>361</v>
      </c>
      <c r="L124">
        <v>1191</v>
      </c>
      <c r="N124">
        <v>1013</v>
      </c>
      <c r="O124" t="s">
        <v>254</v>
      </c>
      <c r="P124" t="s">
        <v>254</v>
      </c>
      <c r="Q124">
        <v>1</v>
      </c>
      <c r="W124">
        <v>0</v>
      </c>
      <c r="X124">
        <v>1658205574</v>
      </c>
      <c r="Y124">
        <v>57.6</v>
      </c>
      <c r="AA124">
        <v>0</v>
      </c>
      <c r="AB124">
        <v>0</v>
      </c>
      <c r="AC124">
        <v>0</v>
      </c>
      <c r="AD124">
        <v>14.09</v>
      </c>
      <c r="AE124">
        <v>0</v>
      </c>
      <c r="AF124">
        <v>0</v>
      </c>
      <c r="AG124">
        <v>0</v>
      </c>
      <c r="AH124">
        <v>14.09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57.6</v>
      </c>
      <c r="AU124" t="s">
        <v>3</v>
      </c>
      <c r="AV124">
        <v>1</v>
      </c>
      <c r="AW124">
        <v>2</v>
      </c>
      <c r="AX124">
        <v>34751001</v>
      </c>
      <c r="AY124">
        <v>1</v>
      </c>
      <c r="AZ124">
        <v>0</v>
      </c>
      <c r="BA124">
        <v>126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Y124*Source!I48</f>
        <v>57.6</v>
      </c>
      <c r="CY124">
        <f t="shared" si="23"/>
        <v>14.09</v>
      </c>
      <c r="CZ124">
        <f t="shared" si="24"/>
        <v>14.09</v>
      </c>
      <c r="DA124">
        <f t="shared" si="25"/>
        <v>1</v>
      </c>
      <c r="DB124">
        <f t="shared" si="21"/>
        <v>811.58</v>
      </c>
      <c r="DC124">
        <f t="shared" si="22"/>
        <v>0</v>
      </c>
      <c r="GQ124">
        <v>-1</v>
      </c>
      <c r="GR124">
        <v>-1</v>
      </c>
    </row>
    <row r="125" spans="1:200" x14ac:dyDescent="0.2">
      <c r="A125">
        <f>ROW(Source!A48)</f>
        <v>48</v>
      </c>
      <c r="B125">
        <v>34748518</v>
      </c>
      <c r="C125">
        <v>34750997</v>
      </c>
      <c r="D125">
        <v>32159989</v>
      </c>
      <c r="E125">
        <v>1</v>
      </c>
      <c r="F125">
        <v>1</v>
      </c>
      <c r="G125">
        <v>1</v>
      </c>
      <c r="H125">
        <v>1</v>
      </c>
      <c r="I125" t="s">
        <v>362</v>
      </c>
      <c r="J125" t="s">
        <v>3</v>
      </c>
      <c r="K125" t="s">
        <v>363</v>
      </c>
      <c r="L125">
        <v>1191</v>
      </c>
      <c r="N125">
        <v>1013</v>
      </c>
      <c r="O125" t="s">
        <v>254</v>
      </c>
      <c r="P125" t="s">
        <v>254</v>
      </c>
      <c r="Q125">
        <v>1</v>
      </c>
      <c r="W125">
        <v>0</v>
      </c>
      <c r="X125">
        <v>848708738</v>
      </c>
      <c r="Y125">
        <v>25.6</v>
      </c>
      <c r="AA125">
        <v>0</v>
      </c>
      <c r="AB125">
        <v>0</v>
      </c>
      <c r="AC125">
        <v>0</v>
      </c>
      <c r="AD125">
        <v>12.69</v>
      </c>
      <c r="AE125">
        <v>0</v>
      </c>
      <c r="AF125">
        <v>0</v>
      </c>
      <c r="AG125">
        <v>0</v>
      </c>
      <c r="AH125">
        <v>12.69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25.6</v>
      </c>
      <c r="AU125" t="s">
        <v>3</v>
      </c>
      <c r="AV125">
        <v>1</v>
      </c>
      <c r="AW125">
        <v>2</v>
      </c>
      <c r="AX125">
        <v>34751002</v>
      </c>
      <c r="AY125">
        <v>1</v>
      </c>
      <c r="AZ125">
        <v>0</v>
      </c>
      <c r="BA125">
        <v>127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Y125*Source!I48</f>
        <v>25.6</v>
      </c>
      <c r="CY125">
        <f t="shared" si="23"/>
        <v>12.69</v>
      </c>
      <c r="CZ125">
        <f t="shared" si="24"/>
        <v>12.69</v>
      </c>
      <c r="DA125">
        <f t="shared" si="25"/>
        <v>1</v>
      </c>
      <c r="DB125">
        <f t="shared" si="21"/>
        <v>324.86</v>
      </c>
      <c r="DC125">
        <f t="shared" si="22"/>
        <v>0</v>
      </c>
      <c r="GQ125">
        <v>-1</v>
      </c>
      <c r="GR125">
        <v>-1</v>
      </c>
    </row>
    <row r="126" spans="1:200" x14ac:dyDescent="0.2">
      <c r="A126">
        <f>ROW(Source!A49)</f>
        <v>49</v>
      </c>
      <c r="B126">
        <v>34748540</v>
      </c>
      <c r="C126">
        <v>34750997</v>
      </c>
      <c r="D126">
        <v>32163921</v>
      </c>
      <c r="E126">
        <v>1</v>
      </c>
      <c r="F126">
        <v>1</v>
      </c>
      <c r="G126">
        <v>1</v>
      </c>
      <c r="H126">
        <v>1</v>
      </c>
      <c r="I126" t="s">
        <v>354</v>
      </c>
      <c r="J126" t="s">
        <v>3</v>
      </c>
      <c r="K126" t="s">
        <v>355</v>
      </c>
      <c r="L126">
        <v>1191</v>
      </c>
      <c r="N126">
        <v>1013</v>
      </c>
      <c r="O126" t="s">
        <v>254</v>
      </c>
      <c r="P126" t="s">
        <v>254</v>
      </c>
      <c r="Q126">
        <v>1</v>
      </c>
      <c r="W126">
        <v>0</v>
      </c>
      <c r="X126">
        <v>1688654847</v>
      </c>
      <c r="Y126">
        <v>6.4</v>
      </c>
      <c r="AA126">
        <v>0</v>
      </c>
      <c r="AB126">
        <v>0</v>
      </c>
      <c r="AC126">
        <v>0</v>
      </c>
      <c r="AD126">
        <v>127.63</v>
      </c>
      <c r="AE126">
        <v>0</v>
      </c>
      <c r="AF126">
        <v>0</v>
      </c>
      <c r="AG126">
        <v>0</v>
      </c>
      <c r="AH126">
        <v>10.210000000000001</v>
      </c>
      <c r="AI126">
        <v>1</v>
      </c>
      <c r="AJ126">
        <v>1</v>
      </c>
      <c r="AK126">
        <v>1</v>
      </c>
      <c r="AL126">
        <v>12.5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6.4</v>
      </c>
      <c r="AU126" t="s">
        <v>3</v>
      </c>
      <c r="AV126">
        <v>1</v>
      </c>
      <c r="AW126">
        <v>2</v>
      </c>
      <c r="AX126">
        <v>34750998</v>
      </c>
      <c r="AY126">
        <v>1</v>
      </c>
      <c r="AZ126">
        <v>0</v>
      </c>
      <c r="BA126">
        <v>128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Y126*Source!I49</f>
        <v>6.4</v>
      </c>
      <c r="CY126">
        <f t="shared" si="23"/>
        <v>127.63</v>
      </c>
      <c r="CZ126">
        <f t="shared" si="24"/>
        <v>10.210000000000001</v>
      </c>
      <c r="DA126">
        <f t="shared" si="25"/>
        <v>12.5</v>
      </c>
      <c r="DB126">
        <f t="shared" si="21"/>
        <v>65.34</v>
      </c>
      <c r="DC126">
        <f t="shared" si="22"/>
        <v>0</v>
      </c>
      <c r="GQ126">
        <v>-1</v>
      </c>
      <c r="GR126">
        <v>-1</v>
      </c>
    </row>
    <row r="127" spans="1:200" x14ac:dyDescent="0.2">
      <c r="A127">
        <f>ROW(Source!A49)</f>
        <v>49</v>
      </c>
      <c r="B127">
        <v>34748540</v>
      </c>
      <c r="C127">
        <v>34750997</v>
      </c>
      <c r="D127">
        <v>32159941</v>
      </c>
      <c r="E127">
        <v>1</v>
      </c>
      <c r="F127">
        <v>1</v>
      </c>
      <c r="G127">
        <v>1</v>
      </c>
      <c r="H127">
        <v>1</v>
      </c>
      <c r="I127" t="s">
        <v>356</v>
      </c>
      <c r="J127" t="s">
        <v>3</v>
      </c>
      <c r="K127" t="s">
        <v>357</v>
      </c>
      <c r="L127">
        <v>1191</v>
      </c>
      <c r="N127">
        <v>1013</v>
      </c>
      <c r="O127" t="s">
        <v>254</v>
      </c>
      <c r="P127" t="s">
        <v>254</v>
      </c>
      <c r="Q127">
        <v>1</v>
      </c>
      <c r="W127">
        <v>0</v>
      </c>
      <c r="X127">
        <v>1675274105</v>
      </c>
      <c r="Y127">
        <v>12.8</v>
      </c>
      <c r="AA127">
        <v>0</v>
      </c>
      <c r="AB127">
        <v>0</v>
      </c>
      <c r="AC127">
        <v>0</v>
      </c>
      <c r="AD127">
        <v>211.63</v>
      </c>
      <c r="AE127">
        <v>0</v>
      </c>
      <c r="AF127">
        <v>0</v>
      </c>
      <c r="AG127">
        <v>0</v>
      </c>
      <c r="AH127">
        <v>16.93</v>
      </c>
      <c r="AI127">
        <v>1</v>
      </c>
      <c r="AJ127">
        <v>1</v>
      </c>
      <c r="AK127">
        <v>1</v>
      </c>
      <c r="AL127">
        <v>12.5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12.8</v>
      </c>
      <c r="AU127" t="s">
        <v>3</v>
      </c>
      <c r="AV127">
        <v>1</v>
      </c>
      <c r="AW127">
        <v>2</v>
      </c>
      <c r="AX127">
        <v>34750999</v>
      </c>
      <c r="AY127">
        <v>1</v>
      </c>
      <c r="AZ127">
        <v>0</v>
      </c>
      <c r="BA127">
        <v>129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Y127*Source!I49</f>
        <v>12.8</v>
      </c>
      <c r="CY127">
        <f t="shared" si="23"/>
        <v>211.63</v>
      </c>
      <c r="CZ127">
        <f t="shared" si="24"/>
        <v>16.93</v>
      </c>
      <c r="DA127">
        <f t="shared" si="25"/>
        <v>12.5</v>
      </c>
      <c r="DB127">
        <f t="shared" si="21"/>
        <v>216.7</v>
      </c>
      <c r="DC127">
        <f t="shared" si="22"/>
        <v>0</v>
      </c>
      <c r="GQ127">
        <v>-1</v>
      </c>
      <c r="GR127">
        <v>-1</v>
      </c>
    </row>
    <row r="128" spans="1:200" x14ac:dyDescent="0.2">
      <c r="A128">
        <f>ROW(Source!A49)</f>
        <v>49</v>
      </c>
      <c r="B128">
        <v>34748540</v>
      </c>
      <c r="C128">
        <v>34750997</v>
      </c>
      <c r="D128">
        <v>32000304</v>
      </c>
      <c r="E128">
        <v>1</v>
      </c>
      <c r="F128">
        <v>1</v>
      </c>
      <c r="G128">
        <v>1</v>
      </c>
      <c r="H128">
        <v>1</v>
      </c>
      <c r="I128" t="s">
        <v>358</v>
      </c>
      <c r="J128" t="s">
        <v>3</v>
      </c>
      <c r="K128" t="s">
        <v>359</v>
      </c>
      <c r="L128">
        <v>1191</v>
      </c>
      <c r="N128">
        <v>1013</v>
      </c>
      <c r="O128" t="s">
        <v>254</v>
      </c>
      <c r="P128" t="s">
        <v>254</v>
      </c>
      <c r="Q128">
        <v>1</v>
      </c>
      <c r="W128">
        <v>0</v>
      </c>
      <c r="X128">
        <v>-1481893445</v>
      </c>
      <c r="Y128">
        <v>25.6</v>
      </c>
      <c r="AA128">
        <v>0</v>
      </c>
      <c r="AB128">
        <v>0</v>
      </c>
      <c r="AC128">
        <v>0</v>
      </c>
      <c r="AD128">
        <v>193.63</v>
      </c>
      <c r="AE128">
        <v>0</v>
      </c>
      <c r="AF128">
        <v>0</v>
      </c>
      <c r="AG128">
        <v>0</v>
      </c>
      <c r="AH128">
        <v>15.49</v>
      </c>
      <c r="AI128">
        <v>1</v>
      </c>
      <c r="AJ128">
        <v>1</v>
      </c>
      <c r="AK128">
        <v>1</v>
      </c>
      <c r="AL128">
        <v>12.5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25.6</v>
      </c>
      <c r="AU128" t="s">
        <v>3</v>
      </c>
      <c r="AV128">
        <v>1</v>
      </c>
      <c r="AW128">
        <v>2</v>
      </c>
      <c r="AX128">
        <v>34751000</v>
      </c>
      <c r="AY128">
        <v>1</v>
      </c>
      <c r="AZ128">
        <v>0</v>
      </c>
      <c r="BA128">
        <v>130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Y128*Source!I49</f>
        <v>25.6</v>
      </c>
      <c r="CY128">
        <f t="shared" si="23"/>
        <v>193.63</v>
      </c>
      <c r="CZ128">
        <f t="shared" si="24"/>
        <v>15.49</v>
      </c>
      <c r="DA128">
        <f t="shared" si="25"/>
        <v>12.5</v>
      </c>
      <c r="DB128">
        <f t="shared" si="21"/>
        <v>396.54</v>
      </c>
      <c r="DC128">
        <f t="shared" si="22"/>
        <v>0</v>
      </c>
      <c r="GQ128">
        <v>-1</v>
      </c>
      <c r="GR128">
        <v>-1</v>
      </c>
    </row>
    <row r="129" spans="1:200" x14ac:dyDescent="0.2">
      <c r="A129">
        <f>ROW(Source!A49)</f>
        <v>49</v>
      </c>
      <c r="B129">
        <v>34748540</v>
      </c>
      <c r="C129">
        <v>34750997</v>
      </c>
      <c r="D129">
        <v>32003081</v>
      </c>
      <c r="E129">
        <v>1</v>
      </c>
      <c r="F129">
        <v>1</v>
      </c>
      <c r="G129">
        <v>1</v>
      </c>
      <c r="H129">
        <v>1</v>
      </c>
      <c r="I129" t="s">
        <v>360</v>
      </c>
      <c r="J129" t="s">
        <v>3</v>
      </c>
      <c r="K129" t="s">
        <v>361</v>
      </c>
      <c r="L129">
        <v>1191</v>
      </c>
      <c r="N129">
        <v>1013</v>
      </c>
      <c r="O129" t="s">
        <v>254</v>
      </c>
      <c r="P129" t="s">
        <v>254</v>
      </c>
      <c r="Q129">
        <v>1</v>
      </c>
      <c r="W129">
        <v>0</v>
      </c>
      <c r="X129">
        <v>1658205574</v>
      </c>
      <c r="Y129">
        <v>57.6</v>
      </c>
      <c r="AA129">
        <v>0</v>
      </c>
      <c r="AB129">
        <v>0</v>
      </c>
      <c r="AC129">
        <v>0</v>
      </c>
      <c r="AD129">
        <v>176.13</v>
      </c>
      <c r="AE129">
        <v>0</v>
      </c>
      <c r="AF129">
        <v>0</v>
      </c>
      <c r="AG129">
        <v>0</v>
      </c>
      <c r="AH129">
        <v>14.09</v>
      </c>
      <c r="AI129">
        <v>1</v>
      </c>
      <c r="AJ129">
        <v>1</v>
      </c>
      <c r="AK129">
        <v>1</v>
      </c>
      <c r="AL129">
        <v>12.5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57.6</v>
      </c>
      <c r="AU129" t="s">
        <v>3</v>
      </c>
      <c r="AV129">
        <v>1</v>
      </c>
      <c r="AW129">
        <v>2</v>
      </c>
      <c r="AX129">
        <v>34751001</v>
      </c>
      <c r="AY129">
        <v>1</v>
      </c>
      <c r="AZ129">
        <v>0</v>
      </c>
      <c r="BA129">
        <v>131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Y129*Source!I49</f>
        <v>57.6</v>
      </c>
      <c r="CY129">
        <f t="shared" si="23"/>
        <v>176.13</v>
      </c>
      <c r="CZ129">
        <f t="shared" si="24"/>
        <v>14.09</v>
      </c>
      <c r="DA129">
        <f t="shared" si="25"/>
        <v>12.5</v>
      </c>
      <c r="DB129">
        <f t="shared" ref="DB129:DB140" si="26">ROUND(ROUND(AT129*CZ129,2),2)</f>
        <v>811.58</v>
      </c>
      <c r="DC129">
        <f t="shared" ref="DC129:DC140" si="27">ROUND(ROUND(AT129*AG129,2),2)</f>
        <v>0</v>
      </c>
      <c r="GQ129">
        <v>-1</v>
      </c>
      <c r="GR129">
        <v>-1</v>
      </c>
    </row>
    <row r="130" spans="1:200" x14ac:dyDescent="0.2">
      <c r="A130">
        <f>ROW(Source!A49)</f>
        <v>49</v>
      </c>
      <c r="B130">
        <v>34748540</v>
      </c>
      <c r="C130">
        <v>34750997</v>
      </c>
      <c r="D130">
        <v>32159989</v>
      </c>
      <c r="E130">
        <v>1</v>
      </c>
      <c r="F130">
        <v>1</v>
      </c>
      <c r="G130">
        <v>1</v>
      </c>
      <c r="H130">
        <v>1</v>
      </c>
      <c r="I130" t="s">
        <v>362</v>
      </c>
      <c r="J130" t="s">
        <v>3</v>
      </c>
      <c r="K130" t="s">
        <v>363</v>
      </c>
      <c r="L130">
        <v>1191</v>
      </c>
      <c r="N130">
        <v>1013</v>
      </c>
      <c r="O130" t="s">
        <v>254</v>
      </c>
      <c r="P130" t="s">
        <v>254</v>
      </c>
      <c r="Q130">
        <v>1</v>
      </c>
      <c r="W130">
        <v>0</v>
      </c>
      <c r="X130">
        <v>848708738</v>
      </c>
      <c r="Y130">
        <v>25.6</v>
      </c>
      <c r="AA130">
        <v>0</v>
      </c>
      <c r="AB130">
        <v>0</v>
      </c>
      <c r="AC130">
        <v>0</v>
      </c>
      <c r="AD130">
        <v>158.63</v>
      </c>
      <c r="AE130">
        <v>0</v>
      </c>
      <c r="AF130">
        <v>0</v>
      </c>
      <c r="AG130">
        <v>0</v>
      </c>
      <c r="AH130">
        <v>12.69</v>
      </c>
      <c r="AI130">
        <v>1</v>
      </c>
      <c r="AJ130">
        <v>1</v>
      </c>
      <c r="AK130">
        <v>1</v>
      </c>
      <c r="AL130">
        <v>12.5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25.6</v>
      </c>
      <c r="AU130" t="s">
        <v>3</v>
      </c>
      <c r="AV130">
        <v>1</v>
      </c>
      <c r="AW130">
        <v>2</v>
      </c>
      <c r="AX130">
        <v>34751002</v>
      </c>
      <c r="AY130">
        <v>1</v>
      </c>
      <c r="AZ130">
        <v>0</v>
      </c>
      <c r="BA130">
        <v>132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Y130*Source!I49</f>
        <v>25.6</v>
      </c>
      <c r="CY130">
        <f t="shared" si="23"/>
        <v>158.63</v>
      </c>
      <c r="CZ130">
        <f t="shared" si="24"/>
        <v>12.69</v>
      </c>
      <c r="DA130">
        <f t="shared" si="25"/>
        <v>12.5</v>
      </c>
      <c r="DB130">
        <f t="shared" si="26"/>
        <v>324.86</v>
      </c>
      <c r="DC130">
        <f t="shared" si="27"/>
        <v>0</v>
      </c>
      <c r="GQ130">
        <v>-1</v>
      </c>
      <c r="GR130">
        <v>-1</v>
      </c>
    </row>
    <row r="131" spans="1:200" x14ac:dyDescent="0.2">
      <c r="A131">
        <f>ROW(Source!A50)</f>
        <v>50</v>
      </c>
      <c r="B131">
        <v>34748518</v>
      </c>
      <c r="C131">
        <v>34751084</v>
      </c>
      <c r="D131">
        <v>32163921</v>
      </c>
      <c r="E131">
        <v>1</v>
      </c>
      <c r="F131">
        <v>1</v>
      </c>
      <c r="G131">
        <v>1</v>
      </c>
      <c r="H131">
        <v>1</v>
      </c>
      <c r="I131" t="s">
        <v>354</v>
      </c>
      <c r="J131" t="s">
        <v>3</v>
      </c>
      <c r="K131" t="s">
        <v>355</v>
      </c>
      <c r="L131">
        <v>1191</v>
      </c>
      <c r="N131">
        <v>1013</v>
      </c>
      <c r="O131" t="s">
        <v>254</v>
      </c>
      <c r="P131" t="s">
        <v>254</v>
      </c>
      <c r="Q131">
        <v>1</v>
      </c>
      <c r="W131">
        <v>0</v>
      </c>
      <c r="X131">
        <v>1688654847</v>
      </c>
      <c r="Y131">
        <v>0.3075</v>
      </c>
      <c r="AA131">
        <v>0</v>
      </c>
      <c r="AB131">
        <v>0</v>
      </c>
      <c r="AC131">
        <v>0</v>
      </c>
      <c r="AD131">
        <v>10.210000000000001</v>
      </c>
      <c r="AE131">
        <v>0</v>
      </c>
      <c r="AF131">
        <v>0</v>
      </c>
      <c r="AG131">
        <v>0</v>
      </c>
      <c r="AH131">
        <v>10.210000000000001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0.3075</v>
      </c>
      <c r="AU131" t="s">
        <v>3</v>
      </c>
      <c r="AV131">
        <v>1</v>
      </c>
      <c r="AW131">
        <v>2</v>
      </c>
      <c r="AX131">
        <v>34751085</v>
      </c>
      <c r="AY131">
        <v>1</v>
      </c>
      <c r="AZ131">
        <v>0</v>
      </c>
      <c r="BA131">
        <v>133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Y131*Source!I50</f>
        <v>4.3049999999999997</v>
      </c>
      <c r="CY131">
        <f t="shared" si="23"/>
        <v>10.210000000000001</v>
      </c>
      <c r="CZ131">
        <f t="shared" si="24"/>
        <v>10.210000000000001</v>
      </c>
      <c r="DA131">
        <f t="shared" si="25"/>
        <v>1</v>
      </c>
      <c r="DB131">
        <f t="shared" si="26"/>
        <v>3.14</v>
      </c>
      <c r="DC131">
        <f t="shared" si="27"/>
        <v>0</v>
      </c>
      <c r="GQ131">
        <v>-1</v>
      </c>
      <c r="GR131">
        <v>-1</v>
      </c>
    </row>
    <row r="132" spans="1:200" x14ac:dyDescent="0.2">
      <c r="A132">
        <f>ROW(Source!A50)</f>
        <v>50</v>
      </c>
      <c r="B132">
        <v>34748518</v>
      </c>
      <c r="C132">
        <v>34751084</v>
      </c>
      <c r="D132">
        <v>32159941</v>
      </c>
      <c r="E132">
        <v>1</v>
      </c>
      <c r="F132">
        <v>1</v>
      </c>
      <c r="G132">
        <v>1</v>
      </c>
      <c r="H132">
        <v>1</v>
      </c>
      <c r="I132" t="s">
        <v>356</v>
      </c>
      <c r="J132" t="s">
        <v>3</v>
      </c>
      <c r="K132" t="s">
        <v>357</v>
      </c>
      <c r="L132">
        <v>1191</v>
      </c>
      <c r="N132">
        <v>1013</v>
      </c>
      <c r="O132" t="s">
        <v>254</v>
      </c>
      <c r="P132" t="s">
        <v>254</v>
      </c>
      <c r="Q132">
        <v>1</v>
      </c>
      <c r="W132">
        <v>0</v>
      </c>
      <c r="X132">
        <v>1675274105</v>
      </c>
      <c r="Y132">
        <v>0.61499999999999999</v>
      </c>
      <c r="AA132">
        <v>0</v>
      </c>
      <c r="AB132">
        <v>0</v>
      </c>
      <c r="AC132">
        <v>0</v>
      </c>
      <c r="AD132">
        <v>16.93</v>
      </c>
      <c r="AE132">
        <v>0</v>
      </c>
      <c r="AF132">
        <v>0</v>
      </c>
      <c r="AG132">
        <v>0</v>
      </c>
      <c r="AH132">
        <v>16.93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0.61499999999999999</v>
      </c>
      <c r="AU132" t="s">
        <v>3</v>
      </c>
      <c r="AV132">
        <v>1</v>
      </c>
      <c r="AW132">
        <v>2</v>
      </c>
      <c r="AX132">
        <v>34751086</v>
      </c>
      <c r="AY132">
        <v>1</v>
      </c>
      <c r="AZ132">
        <v>0</v>
      </c>
      <c r="BA132">
        <v>134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Y132*Source!I50</f>
        <v>8.61</v>
      </c>
      <c r="CY132">
        <f t="shared" si="23"/>
        <v>16.93</v>
      </c>
      <c r="CZ132">
        <f t="shared" si="24"/>
        <v>16.93</v>
      </c>
      <c r="DA132">
        <f t="shared" si="25"/>
        <v>1</v>
      </c>
      <c r="DB132">
        <f t="shared" si="26"/>
        <v>10.41</v>
      </c>
      <c r="DC132">
        <f t="shared" si="27"/>
        <v>0</v>
      </c>
      <c r="GQ132">
        <v>-1</v>
      </c>
      <c r="GR132">
        <v>-1</v>
      </c>
    </row>
    <row r="133" spans="1:200" x14ac:dyDescent="0.2">
      <c r="A133">
        <f>ROW(Source!A50)</f>
        <v>50</v>
      </c>
      <c r="B133">
        <v>34748518</v>
      </c>
      <c r="C133">
        <v>34751084</v>
      </c>
      <c r="D133">
        <v>32000304</v>
      </c>
      <c r="E133">
        <v>1</v>
      </c>
      <c r="F133">
        <v>1</v>
      </c>
      <c r="G133">
        <v>1</v>
      </c>
      <c r="H133">
        <v>1</v>
      </c>
      <c r="I133" t="s">
        <v>358</v>
      </c>
      <c r="J133" t="s">
        <v>3</v>
      </c>
      <c r="K133" t="s">
        <v>359</v>
      </c>
      <c r="L133">
        <v>1191</v>
      </c>
      <c r="N133">
        <v>1013</v>
      </c>
      <c r="O133" t="s">
        <v>254</v>
      </c>
      <c r="P133" t="s">
        <v>254</v>
      </c>
      <c r="Q133">
        <v>1</v>
      </c>
      <c r="W133">
        <v>0</v>
      </c>
      <c r="X133">
        <v>-1481893445</v>
      </c>
      <c r="Y133">
        <v>1.23</v>
      </c>
      <c r="AA133">
        <v>0</v>
      </c>
      <c r="AB133">
        <v>0</v>
      </c>
      <c r="AC133">
        <v>0</v>
      </c>
      <c r="AD133">
        <v>15.49</v>
      </c>
      <c r="AE133">
        <v>0</v>
      </c>
      <c r="AF133">
        <v>0</v>
      </c>
      <c r="AG133">
        <v>0</v>
      </c>
      <c r="AH133">
        <v>15.49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1.23</v>
      </c>
      <c r="AU133" t="s">
        <v>3</v>
      </c>
      <c r="AV133">
        <v>1</v>
      </c>
      <c r="AW133">
        <v>2</v>
      </c>
      <c r="AX133">
        <v>34751087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Y133*Source!I50</f>
        <v>17.22</v>
      </c>
      <c r="CY133">
        <f t="shared" si="23"/>
        <v>15.49</v>
      </c>
      <c r="CZ133">
        <f t="shared" si="24"/>
        <v>15.49</v>
      </c>
      <c r="DA133">
        <f t="shared" si="25"/>
        <v>1</v>
      </c>
      <c r="DB133">
        <f t="shared" si="26"/>
        <v>19.05</v>
      </c>
      <c r="DC133">
        <f t="shared" si="27"/>
        <v>0</v>
      </c>
      <c r="GQ133">
        <v>-1</v>
      </c>
      <c r="GR133">
        <v>-1</v>
      </c>
    </row>
    <row r="134" spans="1:200" x14ac:dyDescent="0.2">
      <c r="A134">
        <f>ROW(Source!A50)</f>
        <v>50</v>
      </c>
      <c r="B134">
        <v>34748518</v>
      </c>
      <c r="C134">
        <v>34751084</v>
      </c>
      <c r="D134">
        <v>32003081</v>
      </c>
      <c r="E134">
        <v>1</v>
      </c>
      <c r="F134">
        <v>1</v>
      </c>
      <c r="G134">
        <v>1</v>
      </c>
      <c r="H134">
        <v>1</v>
      </c>
      <c r="I134" t="s">
        <v>360</v>
      </c>
      <c r="J134" t="s">
        <v>3</v>
      </c>
      <c r="K134" t="s">
        <v>361</v>
      </c>
      <c r="L134">
        <v>1191</v>
      </c>
      <c r="N134">
        <v>1013</v>
      </c>
      <c r="O134" t="s">
        <v>254</v>
      </c>
      <c r="P134" t="s">
        <v>254</v>
      </c>
      <c r="Q134">
        <v>1</v>
      </c>
      <c r="W134">
        <v>0</v>
      </c>
      <c r="X134">
        <v>1658205574</v>
      </c>
      <c r="Y134">
        <v>2.7675000000000001</v>
      </c>
      <c r="AA134">
        <v>0</v>
      </c>
      <c r="AB134">
        <v>0</v>
      </c>
      <c r="AC134">
        <v>0</v>
      </c>
      <c r="AD134">
        <v>14.09</v>
      </c>
      <c r="AE134">
        <v>0</v>
      </c>
      <c r="AF134">
        <v>0</v>
      </c>
      <c r="AG134">
        <v>0</v>
      </c>
      <c r="AH134">
        <v>14.09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2.7675000000000001</v>
      </c>
      <c r="AU134" t="s">
        <v>3</v>
      </c>
      <c r="AV134">
        <v>1</v>
      </c>
      <c r="AW134">
        <v>2</v>
      </c>
      <c r="AX134">
        <v>34751088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Y134*Source!I50</f>
        <v>38.745000000000005</v>
      </c>
      <c r="CY134">
        <f t="shared" si="23"/>
        <v>14.09</v>
      </c>
      <c r="CZ134">
        <f t="shared" si="24"/>
        <v>14.09</v>
      </c>
      <c r="DA134">
        <f t="shared" si="25"/>
        <v>1</v>
      </c>
      <c r="DB134">
        <f t="shared" si="26"/>
        <v>38.99</v>
      </c>
      <c r="DC134">
        <f t="shared" si="27"/>
        <v>0</v>
      </c>
      <c r="GQ134">
        <v>-1</v>
      </c>
      <c r="GR134">
        <v>-1</v>
      </c>
    </row>
    <row r="135" spans="1:200" x14ac:dyDescent="0.2">
      <c r="A135">
        <f>ROW(Source!A50)</f>
        <v>50</v>
      </c>
      <c r="B135">
        <v>34748518</v>
      </c>
      <c r="C135">
        <v>34751084</v>
      </c>
      <c r="D135">
        <v>32159989</v>
      </c>
      <c r="E135">
        <v>1</v>
      </c>
      <c r="F135">
        <v>1</v>
      </c>
      <c r="G135">
        <v>1</v>
      </c>
      <c r="H135">
        <v>1</v>
      </c>
      <c r="I135" t="s">
        <v>362</v>
      </c>
      <c r="J135" t="s">
        <v>3</v>
      </c>
      <c r="K135" t="s">
        <v>363</v>
      </c>
      <c r="L135">
        <v>1191</v>
      </c>
      <c r="N135">
        <v>1013</v>
      </c>
      <c r="O135" t="s">
        <v>254</v>
      </c>
      <c r="P135" t="s">
        <v>254</v>
      </c>
      <c r="Q135">
        <v>1</v>
      </c>
      <c r="W135">
        <v>0</v>
      </c>
      <c r="X135">
        <v>848708738</v>
      </c>
      <c r="Y135">
        <v>1.23</v>
      </c>
      <c r="AA135">
        <v>0</v>
      </c>
      <c r="AB135">
        <v>0</v>
      </c>
      <c r="AC135">
        <v>0</v>
      </c>
      <c r="AD135">
        <v>12.69</v>
      </c>
      <c r="AE135">
        <v>0</v>
      </c>
      <c r="AF135">
        <v>0</v>
      </c>
      <c r="AG135">
        <v>0</v>
      </c>
      <c r="AH135">
        <v>12.69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1.23</v>
      </c>
      <c r="AU135" t="s">
        <v>3</v>
      </c>
      <c r="AV135">
        <v>1</v>
      </c>
      <c r="AW135">
        <v>2</v>
      </c>
      <c r="AX135">
        <v>34751089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Y135*Source!I50</f>
        <v>17.22</v>
      </c>
      <c r="CY135">
        <f t="shared" si="23"/>
        <v>12.69</v>
      </c>
      <c r="CZ135">
        <f t="shared" si="24"/>
        <v>12.69</v>
      </c>
      <c r="DA135">
        <f t="shared" si="25"/>
        <v>1</v>
      </c>
      <c r="DB135">
        <f t="shared" si="26"/>
        <v>15.61</v>
      </c>
      <c r="DC135">
        <f t="shared" si="27"/>
        <v>0</v>
      </c>
      <c r="GQ135">
        <v>-1</v>
      </c>
      <c r="GR135">
        <v>-1</v>
      </c>
    </row>
    <row r="136" spans="1:200" x14ac:dyDescent="0.2">
      <c r="A136">
        <f>ROW(Source!A51)</f>
        <v>51</v>
      </c>
      <c r="B136">
        <v>34748540</v>
      </c>
      <c r="C136">
        <v>34751084</v>
      </c>
      <c r="D136">
        <v>32163921</v>
      </c>
      <c r="E136">
        <v>1</v>
      </c>
      <c r="F136">
        <v>1</v>
      </c>
      <c r="G136">
        <v>1</v>
      </c>
      <c r="H136">
        <v>1</v>
      </c>
      <c r="I136" t="s">
        <v>354</v>
      </c>
      <c r="J136" t="s">
        <v>3</v>
      </c>
      <c r="K136" t="s">
        <v>355</v>
      </c>
      <c r="L136">
        <v>1191</v>
      </c>
      <c r="N136">
        <v>1013</v>
      </c>
      <c r="O136" t="s">
        <v>254</v>
      </c>
      <c r="P136" t="s">
        <v>254</v>
      </c>
      <c r="Q136">
        <v>1</v>
      </c>
      <c r="W136">
        <v>0</v>
      </c>
      <c r="X136">
        <v>1688654847</v>
      </c>
      <c r="Y136">
        <v>0.3075</v>
      </c>
      <c r="AA136">
        <v>0</v>
      </c>
      <c r="AB136">
        <v>0</v>
      </c>
      <c r="AC136">
        <v>0</v>
      </c>
      <c r="AD136">
        <v>127.63</v>
      </c>
      <c r="AE136">
        <v>0</v>
      </c>
      <c r="AF136">
        <v>0</v>
      </c>
      <c r="AG136">
        <v>0</v>
      </c>
      <c r="AH136">
        <v>10.210000000000001</v>
      </c>
      <c r="AI136">
        <v>1</v>
      </c>
      <c r="AJ136">
        <v>1</v>
      </c>
      <c r="AK136">
        <v>1</v>
      </c>
      <c r="AL136">
        <v>12.5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0.3075</v>
      </c>
      <c r="AU136" t="s">
        <v>3</v>
      </c>
      <c r="AV136">
        <v>1</v>
      </c>
      <c r="AW136">
        <v>2</v>
      </c>
      <c r="AX136">
        <v>34751085</v>
      </c>
      <c r="AY136">
        <v>1</v>
      </c>
      <c r="AZ136">
        <v>0</v>
      </c>
      <c r="BA136">
        <v>138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Y136*Source!I51</f>
        <v>4.3049999999999997</v>
      </c>
      <c r="CY136">
        <f t="shared" si="23"/>
        <v>127.63</v>
      </c>
      <c r="CZ136">
        <f t="shared" si="24"/>
        <v>10.210000000000001</v>
      </c>
      <c r="DA136">
        <f t="shared" si="25"/>
        <v>12.5</v>
      </c>
      <c r="DB136">
        <f t="shared" si="26"/>
        <v>3.14</v>
      </c>
      <c r="DC136">
        <f t="shared" si="27"/>
        <v>0</v>
      </c>
      <c r="GQ136">
        <v>-1</v>
      </c>
      <c r="GR136">
        <v>-1</v>
      </c>
    </row>
    <row r="137" spans="1:200" x14ac:dyDescent="0.2">
      <c r="A137">
        <f>ROW(Source!A51)</f>
        <v>51</v>
      </c>
      <c r="B137">
        <v>34748540</v>
      </c>
      <c r="C137">
        <v>34751084</v>
      </c>
      <c r="D137">
        <v>32159941</v>
      </c>
      <c r="E137">
        <v>1</v>
      </c>
      <c r="F137">
        <v>1</v>
      </c>
      <c r="G137">
        <v>1</v>
      </c>
      <c r="H137">
        <v>1</v>
      </c>
      <c r="I137" t="s">
        <v>356</v>
      </c>
      <c r="J137" t="s">
        <v>3</v>
      </c>
      <c r="K137" t="s">
        <v>357</v>
      </c>
      <c r="L137">
        <v>1191</v>
      </c>
      <c r="N137">
        <v>1013</v>
      </c>
      <c r="O137" t="s">
        <v>254</v>
      </c>
      <c r="P137" t="s">
        <v>254</v>
      </c>
      <c r="Q137">
        <v>1</v>
      </c>
      <c r="W137">
        <v>0</v>
      </c>
      <c r="X137">
        <v>1675274105</v>
      </c>
      <c r="Y137">
        <v>0.61499999999999999</v>
      </c>
      <c r="AA137">
        <v>0</v>
      </c>
      <c r="AB137">
        <v>0</v>
      </c>
      <c r="AC137">
        <v>0</v>
      </c>
      <c r="AD137">
        <v>211.63</v>
      </c>
      <c r="AE137">
        <v>0</v>
      </c>
      <c r="AF137">
        <v>0</v>
      </c>
      <c r="AG137">
        <v>0</v>
      </c>
      <c r="AH137">
        <v>16.93</v>
      </c>
      <c r="AI137">
        <v>1</v>
      </c>
      <c r="AJ137">
        <v>1</v>
      </c>
      <c r="AK137">
        <v>1</v>
      </c>
      <c r="AL137">
        <v>12.5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0.61499999999999999</v>
      </c>
      <c r="AU137" t="s">
        <v>3</v>
      </c>
      <c r="AV137">
        <v>1</v>
      </c>
      <c r="AW137">
        <v>2</v>
      </c>
      <c r="AX137">
        <v>34751086</v>
      </c>
      <c r="AY137">
        <v>1</v>
      </c>
      <c r="AZ137">
        <v>0</v>
      </c>
      <c r="BA137">
        <v>139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Y137*Source!I51</f>
        <v>8.61</v>
      </c>
      <c r="CY137">
        <f t="shared" si="23"/>
        <v>211.63</v>
      </c>
      <c r="CZ137">
        <f t="shared" si="24"/>
        <v>16.93</v>
      </c>
      <c r="DA137">
        <f t="shared" si="25"/>
        <v>12.5</v>
      </c>
      <c r="DB137">
        <f t="shared" si="26"/>
        <v>10.41</v>
      </c>
      <c r="DC137">
        <f t="shared" si="27"/>
        <v>0</v>
      </c>
      <c r="GQ137">
        <v>-1</v>
      </c>
      <c r="GR137">
        <v>-1</v>
      </c>
    </row>
    <row r="138" spans="1:200" x14ac:dyDescent="0.2">
      <c r="A138">
        <f>ROW(Source!A51)</f>
        <v>51</v>
      </c>
      <c r="B138">
        <v>34748540</v>
      </c>
      <c r="C138">
        <v>34751084</v>
      </c>
      <c r="D138">
        <v>32000304</v>
      </c>
      <c r="E138">
        <v>1</v>
      </c>
      <c r="F138">
        <v>1</v>
      </c>
      <c r="G138">
        <v>1</v>
      </c>
      <c r="H138">
        <v>1</v>
      </c>
      <c r="I138" t="s">
        <v>358</v>
      </c>
      <c r="J138" t="s">
        <v>3</v>
      </c>
      <c r="K138" t="s">
        <v>359</v>
      </c>
      <c r="L138">
        <v>1191</v>
      </c>
      <c r="N138">
        <v>1013</v>
      </c>
      <c r="O138" t="s">
        <v>254</v>
      </c>
      <c r="P138" t="s">
        <v>254</v>
      </c>
      <c r="Q138">
        <v>1</v>
      </c>
      <c r="W138">
        <v>0</v>
      </c>
      <c r="X138">
        <v>-1481893445</v>
      </c>
      <c r="Y138">
        <v>1.23</v>
      </c>
      <c r="AA138">
        <v>0</v>
      </c>
      <c r="AB138">
        <v>0</v>
      </c>
      <c r="AC138">
        <v>0</v>
      </c>
      <c r="AD138">
        <v>193.63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12.5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1.23</v>
      </c>
      <c r="AU138" t="s">
        <v>3</v>
      </c>
      <c r="AV138">
        <v>1</v>
      </c>
      <c r="AW138">
        <v>2</v>
      </c>
      <c r="AX138">
        <v>34751087</v>
      </c>
      <c r="AY138">
        <v>1</v>
      </c>
      <c r="AZ138">
        <v>0</v>
      </c>
      <c r="BA138">
        <v>140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Y138*Source!I51</f>
        <v>17.22</v>
      </c>
      <c r="CY138">
        <f t="shared" si="23"/>
        <v>193.63</v>
      </c>
      <c r="CZ138">
        <f t="shared" si="24"/>
        <v>15.49</v>
      </c>
      <c r="DA138">
        <f t="shared" si="25"/>
        <v>12.5</v>
      </c>
      <c r="DB138">
        <f t="shared" si="26"/>
        <v>19.05</v>
      </c>
      <c r="DC138">
        <f t="shared" si="27"/>
        <v>0</v>
      </c>
      <c r="GQ138">
        <v>-1</v>
      </c>
      <c r="GR138">
        <v>-1</v>
      </c>
    </row>
    <row r="139" spans="1:200" x14ac:dyDescent="0.2">
      <c r="A139">
        <f>ROW(Source!A51)</f>
        <v>51</v>
      </c>
      <c r="B139">
        <v>34748540</v>
      </c>
      <c r="C139">
        <v>34751084</v>
      </c>
      <c r="D139">
        <v>32003081</v>
      </c>
      <c r="E139">
        <v>1</v>
      </c>
      <c r="F139">
        <v>1</v>
      </c>
      <c r="G139">
        <v>1</v>
      </c>
      <c r="H139">
        <v>1</v>
      </c>
      <c r="I139" t="s">
        <v>360</v>
      </c>
      <c r="J139" t="s">
        <v>3</v>
      </c>
      <c r="K139" t="s">
        <v>361</v>
      </c>
      <c r="L139">
        <v>1191</v>
      </c>
      <c r="N139">
        <v>1013</v>
      </c>
      <c r="O139" t="s">
        <v>254</v>
      </c>
      <c r="P139" t="s">
        <v>254</v>
      </c>
      <c r="Q139">
        <v>1</v>
      </c>
      <c r="W139">
        <v>0</v>
      </c>
      <c r="X139">
        <v>1658205574</v>
      </c>
      <c r="Y139">
        <v>2.7675000000000001</v>
      </c>
      <c r="AA139">
        <v>0</v>
      </c>
      <c r="AB139">
        <v>0</v>
      </c>
      <c r="AC139">
        <v>0</v>
      </c>
      <c r="AD139">
        <v>176.13</v>
      </c>
      <c r="AE139">
        <v>0</v>
      </c>
      <c r="AF139">
        <v>0</v>
      </c>
      <c r="AG139">
        <v>0</v>
      </c>
      <c r="AH139">
        <v>14.09</v>
      </c>
      <c r="AI139">
        <v>1</v>
      </c>
      <c r="AJ139">
        <v>1</v>
      </c>
      <c r="AK139">
        <v>1</v>
      </c>
      <c r="AL139">
        <v>12.5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2.7675000000000001</v>
      </c>
      <c r="AU139" t="s">
        <v>3</v>
      </c>
      <c r="AV139">
        <v>1</v>
      </c>
      <c r="AW139">
        <v>2</v>
      </c>
      <c r="AX139">
        <v>34751088</v>
      </c>
      <c r="AY139">
        <v>1</v>
      </c>
      <c r="AZ139">
        <v>0</v>
      </c>
      <c r="BA139">
        <v>141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Y139*Source!I51</f>
        <v>38.745000000000005</v>
      </c>
      <c r="CY139">
        <f t="shared" si="23"/>
        <v>176.13</v>
      </c>
      <c r="CZ139">
        <f t="shared" si="24"/>
        <v>14.09</v>
      </c>
      <c r="DA139">
        <f t="shared" si="25"/>
        <v>12.5</v>
      </c>
      <c r="DB139">
        <f t="shared" si="26"/>
        <v>38.99</v>
      </c>
      <c r="DC139">
        <f t="shared" si="27"/>
        <v>0</v>
      </c>
      <c r="GQ139">
        <v>-1</v>
      </c>
      <c r="GR139">
        <v>-1</v>
      </c>
    </row>
    <row r="140" spans="1:200" x14ac:dyDescent="0.2">
      <c r="A140">
        <f>ROW(Source!A51)</f>
        <v>51</v>
      </c>
      <c r="B140">
        <v>34748540</v>
      </c>
      <c r="C140">
        <v>34751084</v>
      </c>
      <c r="D140">
        <v>32159989</v>
      </c>
      <c r="E140">
        <v>1</v>
      </c>
      <c r="F140">
        <v>1</v>
      </c>
      <c r="G140">
        <v>1</v>
      </c>
      <c r="H140">
        <v>1</v>
      </c>
      <c r="I140" t="s">
        <v>362</v>
      </c>
      <c r="J140" t="s">
        <v>3</v>
      </c>
      <c r="K140" t="s">
        <v>363</v>
      </c>
      <c r="L140">
        <v>1191</v>
      </c>
      <c r="N140">
        <v>1013</v>
      </c>
      <c r="O140" t="s">
        <v>254</v>
      </c>
      <c r="P140" t="s">
        <v>254</v>
      </c>
      <c r="Q140">
        <v>1</v>
      </c>
      <c r="W140">
        <v>0</v>
      </c>
      <c r="X140">
        <v>848708738</v>
      </c>
      <c r="Y140">
        <v>1.23</v>
      </c>
      <c r="AA140">
        <v>0</v>
      </c>
      <c r="AB140">
        <v>0</v>
      </c>
      <c r="AC140">
        <v>0</v>
      </c>
      <c r="AD140">
        <v>158.63</v>
      </c>
      <c r="AE140">
        <v>0</v>
      </c>
      <c r="AF140">
        <v>0</v>
      </c>
      <c r="AG140">
        <v>0</v>
      </c>
      <c r="AH140">
        <v>12.69</v>
      </c>
      <c r="AI140">
        <v>1</v>
      </c>
      <c r="AJ140">
        <v>1</v>
      </c>
      <c r="AK140">
        <v>1</v>
      </c>
      <c r="AL140">
        <v>12.5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1.23</v>
      </c>
      <c r="AU140" t="s">
        <v>3</v>
      </c>
      <c r="AV140">
        <v>1</v>
      </c>
      <c r="AW140">
        <v>2</v>
      </c>
      <c r="AX140">
        <v>34751089</v>
      </c>
      <c r="AY140">
        <v>1</v>
      </c>
      <c r="AZ140">
        <v>0</v>
      </c>
      <c r="BA140">
        <v>142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Y140*Source!I51</f>
        <v>17.22</v>
      </c>
      <c r="CY140">
        <f t="shared" si="23"/>
        <v>158.63</v>
      </c>
      <c r="CZ140">
        <f t="shared" si="24"/>
        <v>12.69</v>
      </c>
      <c r="DA140">
        <f t="shared" si="25"/>
        <v>12.5</v>
      </c>
      <c r="DB140">
        <f t="shared" si="26"/>
        <v>15.61</v>
      </c>
      <c r="DC140">
        <f t="shared" si="27"/>
        <v>0</v>
      </c>
      <c r="GQ140">
        <v>-1</v>
      </c>
      <c r="GR140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34748681</v>
      </c>
      <c r="C1">
        <v>34748680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252</v>
      </c>
      <c r="J1" t="s">
        <v>3</v>
      </c>
      <c r="K1" t="s">
        <v>253</v>
      </c>
      <c r="L1">
        <v>1191</v>
      </c>
      <c r="N1">
        <v>1013</v>
      </c>
      <c r="O1" t="s">
        <v>254</v>
      </c>
      <c r="P1" t="s">
        <v>254</v>
      </c>
      <c r="Q1">
        <v>1</v>
      </c>
      <c r="X1">
        <v>5.49</v>
      </c>
      <c r="Y1">
        <v>0</v>
      </c>
      <c r="Z1">
        <v>0</v>
      </c>
      <c r="AA1">
        <v>0</v>
      </c>
      <c r="AB1">
        <v>8.5299999999999994</v>
      </c>
      <c r="AC1">
        <v>0</v>
      </c>
      <c r="AD1">
        <v>1</v>
      </c>
      <c r="AE1">
        <v>1</v>
      </c>
      <c r="AF1" t="s">
        <v>3</v>
      </c>
      <c r="AG1">
        <v>5.49</v>
      </c>
      <c r="AH1">
        <v>2</v>
      </c>
      <c r="AI1">
        <v>34748681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34748682</v>
      </c>
      <c r="C2">
        <v>34748680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364</v>
      </c>
      <c r="J2" t="s">
        <v>3</v>
      </c>
      <c r="K2" t="s">
        <v>365</v>
      </c>
      <c r="L2">
        <v>1348</v>
      </c>
      <c r="N2">
        <v>1009</v>
      </c>
      <c r="O2" t="s">
        <v>290</v>
      </c>
      <c r="P2" t="s">
        <v>290</v>
      </c>
      <c r="Q2">
        <v>1000</v>
      </c>
      <c r="X2">
        <v>6.0000000000000001E-3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3</v>
      </c>
      <c r="AG2">
        <v>6.0000000000000001E-3</v>
      </c>
      <c r="AH2">
        <v>3</v>
      </c>
      <c r="AI2">
        <v>-1</v>
      </c>
      <c r="AJ2" t="s">
        <v>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34748681</v>
      </c>
      <c r="C3">
        <v>34748680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252</v>
      </c>
      <c r="J3" t="s">
        <v>3</v>
      </c>
      <c r="K3" t="s">
        <v>253</v>
      </c>
      <c r="L3">
        <v>1191</v>
      </c>
      <c r="N3">
        <v>1013</v>
      </c>
      <c r="O3" t="s">
        <v>254</v>
      </c>
      <c r="P3" t="s">
        <v>254</v>
      </c>
      <c r="Q3">
        <v>1</v>
      </c>
      <c r="X3">
        <v>5.49</v>
      </c>
      <c r="Y3">
        <v>0</v>
      </c>
      <c r="Z3">
        <v>0</v>
      </c>
      <c r="AA3">
        <v>0</v>
      </c>
      <c r="AB3">
        <v>8.5299999999999994</v>
      </c>
      <c r="AC3">
        <v>0</v>
      </c>
      <c r="AD3">
        <v>1</v>
      </c>
      <c r="AE3">
        <v>1</v>
      </c>
      <c r="AF3" t="s">
        <v>3</v>
      </c>
      <c r="AG3">
        <v>5.49</v>
      </c>
      <c r="AH3">
        <v>2</v>
      </c>
      <c r="AI3">
        <v>34748681</v>
      </c>
      <c r="AJ3">
        <v>2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34748682</v>
      </c>
      <c r="C4">
        <v>34748680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364</v>
      </c>
      <c r="J4" t="s">
        <v>3</v>
      </c>
      <c r="K4" t="s">
        <v>365</v>
      </c>
      <c r="L4">
        <v>1348</v>
      </c>
      <c r="N4">
        <v>1009</v>
      </c>
      <c r="O4" t="s">
        <v>290</v>
      </c>
      <c r="P4" t="s">
        <v>290</v>
      </c>
      <c r="Q4">
        <v>1000</v>
      </c>
      <c r="X4">
        <v>6.0000000000000001E-3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3</v>
      </c>
      <c r="AG4">
        <v>6.0000000000000001E-3</v>
      </c>
      <c r="AH4">
        <v>3</v>
      </c>
      <c r="AI4">
        <v>-1</v>
      </c>
      <c r="AJ4" t="s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34750766</v>
      </c>
      <c r="C5">
        <v>34750765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254</v>
      </c>
      <c r="P5" t="s">
        <v>254</v>
      </c>
      <c r="Q5">
        <v>1</v>
      </c>
      <c r="X5">
        <v>2.4300000000000002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3</v>
      </c>
      <c r="AG5">
        <v>2.4300000000000002</v>
      </c>
      <c r="AH5">
        <v>2</v>
      </c>
      <c r="AI5">
        <v>34750766</v>
      </c>
      <c r="AJ5">
        <v>3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34750767</v>
      </c>
      <c r="C6">
        <v>34750765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257</v>
      </c>
      <c r="J6" t="s">
        <v>3</v>
      </c>
      <c r="K6" t="s">
        <v>258</v>
      </c>
      <c r="L6">
        <v>1191</v>
      </c>
      <c r="N6">
        <v>1013</v>
      </c>
      <c r="O6" t="s">
        <v>254</v>
      </c>
      <c r="P6" t="s">
        <v>254</v>
      </c>
      <c r="Q6">
        <v>1</v>
      </c>
      <c r="X6">
        <v>0.1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3</v>
      </c>
      <c r="AG6">
        <v>0.1</v>
      </c>
      <c r="AH6">
        <v>2</v>
      </c>
      <c r="AI6">
        <v>34750767</v>
      </c>
      <c r="AJ6">
        <v>4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34750768</v>
      </c>
      <c r="C7">
        <v>34750765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259</v>
      </c>
      <c r="J7" t="s">
        <v>260</v>
      </c>
      <c r="K7" t="s">
        <v>261</v>
      </c>
      <c r="L7">
        <v>1368</v>
      </c>
      <c r="N7">
        <v>1011</v>
      </c>
      <c r="O7" t="s">
        <v>262</v>
      </c>
      <c r="P7" t="s">
        <v>262</v>
      </c>
      <c r="Q7">
        <v>1</v>
      </c>
      <c r="X7">
        <v>0.04</v>
      </c>
      <c r="Y7">
        <v>0</v>
      </c>
      <c r="Z7">
        <v>111.99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0.04</v>
      </c>
      <c r="AH7">
        <v>2</v>
      </c>
      <c r="AI7">
        <v>34750768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34750769</v>
      </c>
      <c r="C8">
        <v>34750765</v>
      </c>
      <c r="D8">
        <v>31526949</v>
      </c>
      <c r="E8">
        <v>1</v>
      </c>
      <c r="F8">
        <v>1</v>
      </c>
      <c r="G8">
        <v>1</v>
      </c>
      <c r="H8">
        <v>2</v>
      </c>
      <c r="I8" t="s">
        <v>263</v>
      </c>
      <c r="J8" t="s">
        <v>264</v>
      </c>
      <c r="K8" t="s">
        <v>265</v>
      </c>
      <c r="L8">
        <v>1368</v>
      </c>
      <c r="N8">
        <v>1011</v>
      </c>
      <c r="O8" t="s">
        <v>262</v>
      </c>
      <c r="P8" t="s">
        <v>262</v>
      </c>
      <c r="Q8">
        <v>1</v>
      </c>
      <c r="X8">
        <v>0.02</v>
      </c>
      <c r="Y8">
        <v>0</v>
      </c>
      <c r="Z8">
        <v>131.44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0.02</v>
      </c>
      <c r="AH8">
        <v>2</v>
      </c>
      <c r="AI8">
        <v>34750769</v>
      </c>
      <c r="AJ8">
        <v>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34750770</v>
      </c>
      <c r="C9">
        <v>34750765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266</v>
      </c>
      <c r="J9" t="s">
        <v>267</v>
      </c>
      <c r="K9" t="s">
        <v>268</v>
      </c>
      <c r="L9">
        <v>1368</v>
      </c>
      <c r="N9">
        <v>1011</v>
      </c>
      <c r="O9" t="s">
        <v>262</v>
      </c>
      <c r="P9" t="s">
        <v>262</v>
      </c>
      <c r="Q9">
        <v>1</v>
      </c>
      <c r="X9">
        <v>0.04</v>
      </c>
      <c r="Y9">
        <v>0</v>
      </c>
      <c r="Z9">
        <v>65.709999999999994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0.04</v>
      </c>
      <c r="AH9">
        <v>2</v>
      </c>
      <c r="AI9">
        <v>34750770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34750771</v>
      </c>
      <c r="C10">
        <v>34750765</v>
      </c>
      <c r="D10">
        <v>31449051</v>
      </c>
      <c r="E10">
        <v>1</v>
      </c>
      <c r="F10">
        <v>1</v>
      </c>
      <c r="G10">
        <v>1</v>
      </c>
      <c r="H10">
        <v>3</v>
      </c>
      <c r="I10" t="s">
        <v>269</v>
      </c>
      <c r="J10" t="s">
        <v>270</v>
      </c>
      <c r="K10" t="s">
        <v>271</v>
      </c>
      <c r="L10">
        <v>1346</v>
      </c>
      <c r="N10">
        <v>1009</v>
      </c>
      <c r="O10" t="s">
        <v>272</v>
      </c>
      <c r="P10" t="s">
        <v>272</v>
      </c>
      <c r="Q10">
        <v>1</v>
      </c>
      <c r="X10">
        <v>0.39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0.39</v>
      </c>
      <c r="AH10">
        <v>2</v>
      </c>
      <c r="AI10">
        <v>34750771</v>
      </c>
      <c r="AJ10">
        <v>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34750772</v>
      </c>
      <c r="C11">
        <v>34750765</v>
      </c>
      <c r="D11">
        <v>31496552</v>
      </c>
      <c r="E11">
        <v>1</v>
      </c>
      <c r="F11">
        <v>1</v>
      </c>
      <c r="G11">
        <v>1</v>
      </c>
      <c r="H11">
        <v>3</v>
      </c>
      <c r="I11" t="s">
        <v>273</v>
      </c>
      <c r="J11" t="s">
        <v>274</v>
      </c>
      <c r="K11" t="s">
        <v>275</v>
      </c>
      <c r="L11">
        <v>1358</v>
      </c>
      <c r="N11">
        <v>1010</v>
      </c>
      <c r="O11" t="s">
        <v>276</v>
      </c>
      <c r="P11" t="s">
        <v>276</v>
      </c>
      <c r="Q11">
        <v>10</v>
      </c>
      <c r="X11">
        <v>0.1</v>
      </c>
      <c r="Y11">
        <v>39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0.1</v>
      </c>
      <c r="AH11">
        <v>2</v>
      </c>
      <c r="AI11">
        <v>34750772</v>
      </c>
      <c r="AJ11">
        <v>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34750773</v>
      </c>
      <c r="C12">
        <v>34750765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277</v>
      </c>
      <c r="J12" t="s">
        <v>3</v>
      </c>
      <c r="K12" t="s">
        <v>278</v>
      </c>
      <c r="L12">
        <v>1374</v>
      </c>
      <c r="N12">
        <v>1013</v>
      </c>
      <c r="O12" t="s">
        <v>279</v>
      </c>
      <c r="P12" t="s">
        <v>279</v>
      </c>
      <c r="Q12">
        <v>1</v>
      </c>
      <c r="X12">
        <v>0.47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0.47</v>
      </c>
      <c r="AH12">
        <v>2</v>
      </c>
      <c r="AI12">
        <v>34750773</v>
      </c>
      <c r="AJ12">
        <v>10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34750766</v>
      </c>
      <c r="C13">
        <v>34750765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255</v>
      </c>
      <c r="J13" t="s">
        <v>3</v>
      </c>
      <c r="K13" t="s">
        <v>256</v>
      </c>
      <c r="L13">
        <v>1191</v>
      </c>
      <c r="N13">
        <v>1013</v>
      </c>
      <c r="O13" t="s">
        <v>254</v>
      </c>
      <c r="P13" t="s">
        <v>254</v>
      </c>
      <c r="Q13">
        <v>1</v>
      </c>
      <c r="X13">
        <v>2.4300000000000002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3</v>
      </c>
      <c r="AG13">
        <v>2.4300000000000002</v>
      </c>
      <c r="AH13">
        <v>2</v>
      </c>
      <c r="AI13">
        <v>34750766</v>
      </c>
      <c r="AJ13">
        <v>11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34750767</v>
      </c>
      <c r="C14">
        <v>34750765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257</v>
      </c>
      <c r="J14" t="s">
        <v>3</v>
      </c>
      <c r="K14" t="s">
        <v>258</v>
      </c>
      <c r="L14">
        <v>1191</v>
      </c>
      <c r="N14">
        <v>1013</v>
      </c>
      <c r="O14" t="s">
        <v>254</v>
      </c>
      <c r="P14" t="s">
        <v>254</v>
      </c>
      <c r="Q14">
        <v>1</v>
      </c>
      <c r="X14">
        <v>0.1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0.1</v>
      </c>
      <c r="AH14">
        <v>2</v>
      </c>
      <c r="AI14">
        <v>34750767</v>
      </c>
      <c r="AJ14">
        <v>12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34750768</v>
      </c>
      <c r="C15">
        <v>34750765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262</v>
      </c>
      <c r="P15" t="s">
        <v>262</v>
      </c>
      <c r="Q15">
        <v>1</v>
      </c>
      <c r="X15">
        <v>0.04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0.04</v>
      </c>
      <c r="AH15">
        <v>2</v>
      </c>
      <c r="AI15">
        <v>34750768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34750769</v>
      </c>
      <c r="C16">
        <v>34750765</v>
      </c>
      <c r="D16">
        <v>31526949</v>
      </c>
      <c r="E16">
        <v>1</v>
      </c>
      <c r="F16">
        <v>1</v>
      </c>
      <c r="G16">
        <v>1</v>
      </c>
      <c r="H16">
        <v>2</v>
      </c>
      <c r="I16" t="s">
        <v>263</v>
      </c>
      <c r="J16" t="s">
        <v>264</v>
      </c>
      <c r="K16" t="s">
        <v>265</v>
      </c>
      <c r="L16">
        <v>1368</v>
      </c>
      <c r="N16">
        <v>1011</v>
      </c>
      <c r="O16" t="s">
        <v>262</v>
      </c>
      <c r="P16" t="s">
        <v>262</v>
      </c>
      <c r="Q16">
        <v>1</v>
      </c>
      <c r="X16">
        <v>0.02</v>
      </c>
      <c r="Y16">
        <v>0</v>
      </c>
      <c r="Z16">
        <v>131.44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0.02</v>
      </c>
      <c r="AH16">
        <v>2</v>
      </c>
      <c r="AI16">
        <v>34750769</v>
      </c>
      <c r="AJ16">
        <v>14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ROW(Source!A27)</f>
        <v>27</v>
      </c>
      <c r="B17">
        <v>34750770</v>
      </c>
      <c r="C17">
        <v>34750765</v>
      </c>
      <c r="D17">
        <v>31528142</v>
      </c>
      <c r="E17">
        <v>1</v>
      </c>
      <c r="F17">
        <v>1</v>
      </c>
      <c r="G17">
        <v>1</v>
      </c>
      <c r="H17">
        <v>2</v>
      </c>
      <c r="I17" t="s">
        <v>266</v>
      </c>
      <c r="J17" t="s">
        <v>267</v>
      </c>
      <c r="K17" t="s">
        <v>268</v>
      </c>
      <c r="L17">
        <v>1368</v>
      </c>
      <c r="N17">
        <v>1011</v>
      </c>
      <c r="O17" t="s">
        <v>262</v>
      </c>
      <c r="P17" t="s">
        <v>262</v>
      </c>
      <c r="Q17">
        <v>1</v>
      </c>
      <c r="X17">
        <v>0.04</v>
      </c>
      <c r="Y17">
        <v>0</v>
      </c>
      <c r="Z17">
        <v>65.709999999999994</v>
      </c>
      <c r="AA17">
        <v>11.6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0.04</v>
      </c>
      <c r="AH17">
        <v>2</v>
      </c>
      <c r="AI17">
        <v>34750770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ROW(Source!A27)</f>
        <v>27</v>
      </c>
      <c r="B18">
        <v>34750771</v>
      </c>
      <c r="C18">
        <v>34750765</v>
      </c>
      <c r="D18">
        <v>31449051</v>
      </c>
      <c r="E18">
        <v>1</v>
      </c>
      <c r="F18">
        <v>1</v>
      </c>
      <c r="G18">
        <v>1</v>
      </c>
      <c r="H18">
        <v>3</v>
      </c>
      <c r="I18" t="s">
        <v>269</v>
      </c>
      <c r="J18" t="s">
        <v>270</v>
      </c>
      <c r="K18" t="s">
        <v>271</v>
      </c>
      <c r="L18">
        <v>1346</v>
      </c>
      <c r="N18">
        <v>1009</v>
      </c>
      <c r="O18" t="s">
        <v>272</v>
      </c>
      <c r="P18" t="s">
        <v>272</v>
      </c>
      <c r="Q18">
        <v>1</v>
      </c>
      <c r="X18">
        <v>0.39</v>
      </c>
      <c r="Y18">
        <v>9.0399999999999991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0.39</v>
      </c>
      <c r="AH18">
        <v>2</v>
      </c>
      <c r="AI18">
        <v>34750771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ROW(Source!A27)</f>
        <v>27</v>
      </c>
      <c r="B19">
        <v>34750772</v>
      </c>
      <c r="C19">
        <v>34750765</v>
      </c>
      <c r="D19">
        <v>31496552</v>
      </c>
      <c r="E19">
        <v>1</v>
      </c>
      <c r="F19">
        <v>1</v>
      </c>
      <c r="G19">
        <v>1</v>
      </c>
      <c r="H19">
        <v>3</v>
      </c>
      <c r="I19" t="s">
        <v>273</v>
      </c>
      <c r="J19" t="s">
        <v>274</v>
      </c>
      <c r="K19" t="s">
        <v>275</v>
      </c>
      <c r="L19">
        <v>1358</v>
      </c>
      <c r="N19">
        <v>1010</v>
      </c>
      <c r="O19" t="s">
        <v>276</v>
      </c>
      <c r="P19" t="s">
        <v>276</v>
      </c>
      <c r="Q19">
        <v>10</v>
      </c>
      <c r="X19">
        <v>0.1</v>
      </c>
      <c r="Y19">
        <v>39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0.1</v>
      </c>
      <c r="AH19">
        <v>2</v>
      </c>
      <c r="AI19">
        <v>34750772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ROW(Source!A27)</f>
        <v>27</v>
      </c>
      <c r="B20">
        <v>34750773</v>
      </c>
      <c r="C20">
        <v>34750765</v>
      </c>
      <c r="D20">
        <v>31443668</v>
      </c>
      <c r="E20">
        <v>17</v>
      </c>
      <c r="F20">
        <v>1</v>
      </c>
      <c r="G20">
        <v>1</v>
      </c>
      <c r="H20">
        <v>3</v>
      </c>
      <c r="I20" t="s">
        <v>277</v>
      </c>
      <c r="J20" t="s">
        <v>3</v>
      </c>
      <c r="K20" t="s">
        <v>278</v>
      </c>
      <c r="L20">
        <v>1374</v>
      </c>
      <c r="N20">
        <v>1013</v>
      </c>
      <c r="O20" t="s">
        <v>279</v>
      </c>
      <c r="P20" t="s">
        <v>279</v>
      </c>
      <c r="Q20">
        <v>1</v>
      </c>
      <c r="X20">
        <v>0.47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0.47</v>
      </c>
      <c r="AH20">
        <v>2</v>
      </c>
      <c r="AI20">
        <v>34750773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ROW(Source!A28)</f>
        <v>28</v>
      </c>
      <c r="B21">
        <v>34750393</v>
      </c>
      <c r="C21">
        <v>34750392</v>
      </c>
      <c r="D21">
        <v>32163326</v>
      </c>
      <c r="E21">
        <v>1</v>
      </c>
      <c r="F21">
        <v>1</v>
      </c>
      <c r="G21">
        <v>1</v>
      </c>
      <c r="H21">
        <v>1</v>
      </c>
      <c r="I21" t="s">
        <v>280</v>
      </c>
      <c r="J21" t="s">
        <v>3</v>
      </c>
      <c r="K21" t="s">
        <v>281</v>
      </c>
      <c r="L21">
        <v>1191</v>
      </c>
      <c r="N21">
        <v>1013</v>
      </c>
      <c r="O21" t="s">
        <v>254</v>
      </c>
      <c r="P21" t="s">
        <v>254</v>
      </c>
      <c r="Q21">
        <v>1</v>
      </c>
      <c r="X21">
        <v>1.8</v>
      </c>
      <c r="Y21">
        <v>0</v>
      </c>
      <c r="Z21">
        <v>0</v>
      </c>
      <c r="AA21">
        <v>0</v>
      </c>
      <c r="AB21">
        <v>9.17</v>
      </c>
      <c r="AC21">
        <v>0</v>
      </c>
      <c r="AD21">
        <v>1</v>
      </c>
      <c r="AE21">
        <v>1</v>
      </c>
      <c r="AF21" t="s">
        <v>3</v>
      </c>
      <c r="AG21">
        <v>1.8</v>
      </c>
      <c r="AH21">
        <v>2</v>
      </c>
      <c r="AI21">
        <v>34750393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ROW(Source!A28)</f>
        <v>28</v>
      </c>
      <c r="B22">
        <v>34750394</v>
      </c>
      <c r="C22">
        <v>34750392</v>
      </c>
      <c r="D22">
        <v>32163380</v>
      </c>
      <c r="E22">
        <v>1</v>
      </c>
      <c r="F22">
        <v>1</v>
      </c>
      <c r="G22">
        <v>1</v>
      </c>
      <c r="H22">
        <v>1</v>
      </c>
      <c r="I22" t="s">
        <v>282</v>
      </c>
      <c r="J22" t="s">
        <v>3</v>
      </c>
      <c r="K22" t="s">
        <v>283</v>
      </c>
      <c r="L22">
        <v>1191</v>
      </c>
      <c r="N22">
        <v>1013</v>
      </c>
      <c r="O22" t="s">
        <v>254</v>
      </c>
      <c r="P22" t="s">
        <v>254</v>
      </c>
      <c r="Q22">
        <v>1</v>
      </c>
      <c r="X22">
        <v>2.7</v>
      </c>
      <c r="Y22">
        <v>0</v>
      </c>
      <c r="Z22">
        <v>0</v>
      </c>
      <c r="AA22">
        <v>0</v>
      </c>
      <c r="AB22">
        <v>14.09</v>
      </c>
      <c r="AC22">
        <v>0</v>
      </c>
      <c r="AD22">
        <v>1</v>
      </c>
      <c r="AE22">
        <v>1</v>
      </c>
      <c r="AF22" t="s">
        <v>3</v>
      </c>
      <c r="AG22">
        <v>2.7</v>
      </c>
      <c r="AH22">
        <v>2</v>
      </c>
      <c r="AI22">
        <v>34750394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34750393</v>
      </c>
      <c r="C23">
        <v>34750392</v>
      </c>
      <c r="D23">
        <v>32163326</v>
      </c>
      <c r="E23">
        <v>1</v>
      </c>
      <c r="F23">
        <v>1</v>
      </c>
      <c r="G23">
        <v>1</v>
      </c>
      <c r="H23">
        <v>1</v>
      </c>
      <c r="I23" t="s">
        <v>280</v>
      </c>
      <c r="J23" t="s">
        <v>3</v>
      </c>
      <c r="K23" t="s">
        <v>281</v>
      </c>
      <c r="L23">
        <v>1191</v>
      </c>
      <c r="N23">
        <v>1013</v>
      </c>
      <c r="O23" t="s">
        <v>254</v>
      </c>
      <c r="P23" t="s">
        <v>254</v>
      </c>
      <c r="Q23">
        <v>1</v>
      </c>
      <c r="X23">
        <v>1.8</v>
      </c>
      <c r="Y23">
        <v>0</v>
      </c>
      <c r="Z23">
        <v>0</v>
      </c>
      <c r="AA23">
        <v>0</v>
      </c>
      <c r="AB23">
        <v>9.17</v>
      </c>
      <c r="AC23">
        <v>0</v>
      </c>
      <c r="AD23">
        <v>1</v>
      </c>
      <c r="AE23">
        <v>1</v>
      </c>
      <c r="AF23" t="s">
        <v>3</v>
      </c>
      <c r="AG23">
        <v>1.8</v>
      </c>
      <c r="AH23">
        <v>2</v>
      </c>
      <c r="AI23">
        <v>34750393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34750394</v>
      </c>
      <c r="C24">
        <v>34750392</v>
      </c>
      <c r="D24">
        <v>32163380</v>
      </c>
      <c r="E24">
        <v>1</v>
      </c>
      <c r="F24">
        <v>1</v>
      </c>
      <c r="G24">
        <v>1</v>
      </c>
      <c r="H24">
        <v>1</v>
      </c>
      <c r="I24" t="s">
        <v>282</v>
      </c>
      <c r="J24" t="s">
        <v>3</v>
      </c>
      <c r="K24" t="s">
        <v>283</v>
      </c>
      <c r="L24">
        <v>1191</v>
      </c>
      <c r="N24">
        <v>1013</v>
      </c>
      <c r="O24" t="s">
        <v>254</v>
      </c>
      <c r="P24" t="s">
        <v>254</v>
      </c>
      <c r="Q24">
        <v>1</v>
      </c>
      <c r="X24">
        <v>2.7</v>
      </c>
      <c r="Y24">
        <v>0</v>
      </c>
      <c r="Z24">
        <v>0</v>
      </c>
      <c r="AA24">
        <v>0</v>
      </c>
      <c r="AB24">
        <v>14.09</v>
      </c>
      <c r="AC24">
        <v>0</v>
      </c>
      <c r="AD24">
        <v>1</v>
      </c>
      <c r="AE24">
        <v>1</v>
      </c>
      <c r="AF24" t="s">
        <v>3</v>
      </c>
      <c r="AG24">
        <v>2.7</v>
      </c>
      <c r="AH24">
        <v>2</v>
      </c>
      <c r="AI24">
        <v>34750394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34750831</v>
      </c>
      <c r="C25">
        <v>34750830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255</v>
      </c>
      <c r="J25" t="s">
        <v>3</v>
      </c>
      <c r="K25" t="s">
        <v>256</v>
      </c>
      <c r="L25">
        <v>1191</v>
      </c>
      <c r="N25">
        <v>1013</v>
      </c>
      <c r="O25" t="s">
        <v>254</v>
      </c>
      <c r="P25" t="s">
        <v>254</v>
      </c>
      <c r="Q25">
        <v>1</v>
      </c>
      <c r="X25">
        <v>19.399999999999999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19.399999999999999</v>
      </c>
      <c r="AH25">
        <v>2</v>
      </c>
      <c r="AI25">
        <v>34750831</v>
      </c>
      <c r="AJ25">
        <v>23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34750832</v>
      </c>
      <c r="C26">
        <v>34750830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257</v>
      </c>
      <c r="J26" t="s">
        <v>3</v>
      </c>
      <c r="K26" t="s">
        <v>258</v>
      </c>
      <c r="L26">
        <v>1191</v>
      </c>
      <c r="N26">
        <v>1013</v>
      </c>
      <c r="O26" t="s">
        <v>254</v>
      </c>
      <c r="P26" t="s">
        <v>254</v>
      </c>
      <c r="Q26">
        <v>1</v>
      </c>
      <c r="X26">
        <v>3.42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3.42</v>
      </c>
      <c r="AH26">
        <v>2</v>
      </c>
      <c r="AI26">
        <v>34750832</v>
      </c>
      <c r="AJ26">
        <v>24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34750833</v>
      </c>
      <c r="C27">
        <v>34750830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262</v>
      </c>
      <c r="P27" t="s">
        <v>262</v>
      </c>
      <c r="Q27">
        <v>1</v>
      </c>
      <c r="X27">
        <v>3.18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3.18</v>
      </c>
      <c r="AH27">
        <v>2</v>
      </c>
      <c r="AI27">
        <v>34750833</v>
      </c>
      <c r="AJ27">
        <v>25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34750834</v>
      </c>
      <c r="C28">
        <v>34750830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266</v>
      </c>
      <c r="J28" t="s">
        <v>267</v>
      </c>
      <c r="K28" t="s">
        <v>268</v>
      </c>
      <c r="L28">
        <v>1368</v>
      </c>
      <c r="N28">
        <v>1011</v>
      </c>
      <c r="O28" t="s">
        <v>262</v>
      </c>
      <c r="P28" t="s">
        <v>262</v>
      </c>
      <c r="Q28">
        <v>1</v>
      </c>
      <c r="X28">
        <v>0.24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0.24</v>
      </c>
      <c r="AH28">
        <v>2</v>
      </c>
      <c r="AI28">
        <v>34750834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34750835</v>
      </c>
      <c r="C29">
        <v>34750830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284</v>
      </c>
      <c r="J29" t="s">
        <v>285</v>
      </c>
      <c r="K29" t="s">
        <v>286</v>
      </c>
      <c r="L29">
        <v>1368</v>
      </c>
      <c r="N29">
        <v>1011</v>
      </c>
      <c r="O29" t="s">
        <v>262</v>
      </c>
      <c r="P29" t="s">
        <v>262</v>
      </c>
      <c r="Q29">
        <v>1</v>
      </c>
      <c r="X29">
        <v>1.35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1.35</v>
      </c>
      <c r="AH29">
        <v>2</v>
      </c>
      <c r="AI29">
        <v>34750835</v>
      </c>
      <c r="AJ29">
        <v>27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34750836</v>
      </c>
      <c r="C30">
        <v>34750830</v>
      </c>
      <c r="D30">
        <v>31444704</v>
      </c>
      <c r="E30">
        <v>1</v>
      </c>
      <c r="F30">
        <v>1</v>
      </c>
      <c r="G30">
        <v>1</v>
      </c>
      <c r="H30">
        <v>3</v>
      </c>
      <c r="I30" t="s">
        <v>287</v>
      </c>
      <c r="J30" t="s">
        <v>288</v>
      </c>
      <c r="K30" t="s">
        <v>289</v>
      </c>
      <c r="L30">
        <v>1348</v>
      </c>
      <c r="N30">
        <v>1009</v>
      </c>
      <c r="O30" t="s">
        <v>290</v>
      </c>
      <c r="P30" t="s">
        <v>290</v>
      </c>
      <c r="Q30">
        <v>1000</v>
      </c>
      <c r="X30">
        <v>6.0000000000000002E-5</v>
      </c>
      <c r="Y30">
        <v>17500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6.0000000000000002E-5</v>
      </c>
      <c r="AH30">
        <v>2</v>
      </c>
      <c r="AI30">
        <v>34750836</v>
      </c>
      <c r="AJ30">
        <v>28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34750837</v>
      </c>
      <c r="C31">
        <v>34750830</v>
      </c>
      <c r="D31">
        <v>31447861</v>
      </c>
      <c r="E31">
        <v>1</v>
      </c>
      <c r="F31">
        <v>1</v>
      </c>
      <c r="G31">
        <v>1</v>
      </c>
      <c r="H31">
        <v>3</v>
      </c>
      <c r="I31" t="s">
        <v>291</v>
      </c>
      <c r="J31" t="s">
        <v>292</v>
      </c>
      <c r="K31" t="s">
        <v>293</v>
      </c>
      <c r="L31">
        <v>1346</v>
      </c>
      <c r="N31">
        <v>1009</v>
      </c>
      <c r="O31" t="s">
        <v>272</v>
      </c>
      <c r="P31" t="s">
        <v>272</v>
      </c>
      <c r="Q31">
        <v>1</v>
      </c>
      <c r="X31">
        <v>0.3</v>
      </c>
      <c r="Y31">
        <v>10.57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0.3</v>
      </c>
      <c r="AH31">
        <v>2</v>
      </c>
      <c r="AI31">
        <v>34750837</v>
      </c>
      <c r="AJ31">
        <v>29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34750838</v>
      </c>
      <c r="C32">
        <v>34750830</v>
      </c>
      <c r="D32">
        <v>31449051</v>
      </c>
      <c r="E32">
        <v>1</v>
      </c>
      <c r="F32">
        <v>1</v>
      </c>
      <c r="G32">
        <v>1</v>
      </c>
      <c r="H32">
        <v>3</v>
      </c>
      <c r="I32" t="s">
        <v>269</v>
      </c>
      <c r="J32" t="s">
        <v>270</v>
      </c>
      <c r="K32" t="s">
        <v>271</v>
      </c>
      <c r="L32">
        <v>1346</v>
      </c>
      <c r="N32">
        <v>1009</v>
      </c>
      <c r="O32" t="s">
        <v>272</v>
      </c>
      <c r="P32" t="s">
        <v>272</v>
      </c>
      <c r="Q32">
        <v>1</v>
      </c>
      <c r="X32">
        <v>11.4</v>
      </c>
      <c r="Y32">
        <v>9.0399999999999991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11.4</v>
      </c>
      <c r="AH32">
        <v>2</v>
      </c>
      <c r="AI32">
        <v>34750838</v>
      </c>
      <c r="AJ32">
        <v>30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34750839</v>
      </c>
      <c r="C33">
        <v>34750830</v>
      </c>
      <c r="D33">
        <v>31449788</v>
      </c>
      <c r="E33">
        <v>1</v>
      </c>
      <c r="F33">
        <v>1</v>
      </c>
      <c r="G33">
        <v>1</v>
      </c>
      <c r="H33">
        <v>3</v>
      </c>
      <c r="I33" t="s">
        <v>294</v>
      </c>
      <c r="J33" t="s">
        <v>295</v>
      </c>
      <c r="K33" t="s">
        <v>296</v>
      </c>
      <c r="L33">
        <v>1346</v>
      </c>
      <c r="N33">
        <v>1009</v>
      </c>
      <c r="O33" t="s">
        <v>272</v>
      </c>
      <c r="P33" t="s">
        <v>272</v>
      </c>
      <c r="Q33">
        <v>1</v>
      </c>
      <c r="X33">
        <v>4</v>
      </c>
      <c r="Y33">
        <v>50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4</v>
      </c>
      <c r="AH33">
        <v>2</v>
      </c>
      <c r="AI33">
        <v>34750839</v>
      </c>
      <c r="AJ33">
        <v>31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34750840</v>
      </c>
      <c r="C34">
        <v>34750830</v>
      </c>
      <c r="D34">
        <v>31450124</v>
      </c>
      <c r="E34">
        <v>1</v>
      </c>
      <c r="F34">
        <v>1</v>
      </c>
      <c r="G34">
        <v>1</v>
      </c>
      <c r="H34">
        <v>3</v>
      </c>
      <c r="I34" t="s">
        <v>297</v>
      </c>
      <c r="J34" t="s">
        <v>298</v>
      </c>
      <c r="K34" t="s">
        <v>299</v>
      </c>
      <c r="L34">
        <v>1330</v>
      </c>
      <c r="N34">
        <v>1005</v>
      </c>
      <c r="O34" t="s">
        <v>300</v>
      </c>
      <c r="P34" t="s">
        <v>300</v>
      </c>
      <c r="Q34">
        <v>10</v>
      </c>
      <c r="X34">
        <v>3.3000000000000002E-2</v>
      </c>
      <c r="Y34">
        <v>79.099999999999994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3.3000000000000002E-2</v>
      </c>
      <c r="AH34">
        <v>2</v>
      </c>
      <c r="AI34">
        <v>34750840</v>
      </c>
      <c r="AJ34">
        <v>32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34750841</v>
      </c>
      <c r="C35">
        <v>34750830</v>
      </c>
      <c r="D35">
        <v>31470585</v>
      </c>
      <c r="E35">
        <v>1</v>
      </c>
      <c r="F35">
        <v>1</v>
      </c>
      <c r="G35">
        <v>1</v>
      </c>
      <c r="H35">
        <v>3</v>
      </c>
      <c r="I35" t="s">
        <v>301</v>
      </c>
      <c r="J35" t="s">
        <v>302</v>
      </c>
      <c r="K35" t="s">
        <v>303</v>
      </c>
      <c r="L35">
        <v>1348</v>
      </c>
      <c r="N35">
        <v>1009</v>
      </c>
      <c r="O35" t="s">
        <v>290</v>
      </c>
      <c r="P35" t="s">
        <v>290</v>
      </c>
      <c r="Q35">
        <v>1000</v>
      </c>
      <c r="X35">
        <v>0.01</v>
      </c>
      <c r="Y35">
        <v>5000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0.01</v>
      </c>
      <c r="AH35">
        <v>2</v>
      </c>
      <c r="AI35">
        <v>34750841</v>
      </c>
      <c r="AJ35">
        <v>33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ROW(Source!A30)</f>
        <v>30</v>
      </c>
      <c r="B36">
        <v>34750842</v>
      </c>
      <c r="C36">
        <v>34750830</v>
      </c>
      <c r="D36">
        <v>31482923</v>
      </c>
      <c r="E36">
        <v>1</v>
      </c>
      <c r="F36">
        <v>1</v>
      </c>
      <c r="G36">
        <v>1</v>
      </c>
      <c r="H36">
        <v>3</v>
      </c>
      <c r="I36" t="s">
        <v>304</v>
      </c>
      <c r="J36" t="s">
        <v>305</v>
      </c>
      <c r="K36" t="s">
        <v>306</v>
      </c>
      <c r="L36">
        <v>1346</v>
      </c>
      <c r="N36">
        <v>1009</v>
      </c>
      <c r="O36" t="s">
        <v>272</v>
      </c>
      <c r="P36" t="s">
        <v>272</v>
      </c>
      <c r="Q36">
        <v>1</v>
      </c>
      <c r="X36">
        <v>0.33</v>
      </c>
      <c r="Y36">
        <v>28.6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0.33</v>
      </c>
      <c r="AH36">
        <v>2</v>
      </c>
      <c r="AI36">
        <v>34750842</v>
      </c>
      <c r="AJ36">
        <v>34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ROW(Source!A30)</f>
        <v>30</v>
      </c>
      <c r="B37">
        <v>34750843</v>
      </c>
      <c r="C37">
        <v>34750830</v>
      </c>
      <c r="D37">
        <v>31443668</v>
      </c>
      <c r="E37">
        <v>17</v>
      </c>
      <c r="F37">
        <v>1</v>
      </c>
      <c r="G37">
        <v>1</v>
      </c>
      <c r="H37">
        <v>3</v>
      </c>
      <c r="I37" t="s">
        <v>277</v>
      </c>
      <c r="J37" t="s">
        <v>3</v>
      </c>
      <c r="K37" t="s">
        <v>278</v>
      </c>
      <c r="L37">
        <v>1374</v>
      </c>
      <c r="N37">
        <v>1013</v>
      </c>
      <c r="O37" t="s">
        <v>279</v>
      </c>
      <c r="P37" t="s">
        <v>279</v>
      </c>
      <c r="Q37">
        <v>1</v>
      </c>
      <c r="X37">
        <v>3.73</v>
      </c>
      <c r="Y37">
        <v>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3.73</v>
      </c>
      <c r="AH37">
        <v>2</v>
      </c>
      <c r="AI37">
        <v>34750843</v>
      </c>
      <c r="AJ37">
        <v>35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34750831</v>
      </c>
      <c r="C38">
        <v>34750830</v>
      </c>
      <c r="D38">
        <v>31715651</v>
      </c>
      <c r="E38">
        <v>1</v>
      </c>
      <c r="F38">
        <v>1</v>
      </c>
      <c r="G38">
        <v>1</v>
      </c>
      <c r="H38">
        <v>1</v>
      </c>
      <c r="I38" t="s">
        <v>255</v>
      </c>
      <c r="J38" t="s">
        <v>3</v>
      </c>
      <c r="K38" t="s">
        <v>256</v>
      </c>
      <c r="L38">
        <v>1191</v>
      </c>
      <c r="N38">
        <v>1013</v>
      </c>
      <c r="O38" t="s">
        <v>254</v>
      </c>
      <c r="P38" t="s">
        <v>254</v>
      </c>
      <c r="Q38">
        <v>1</v>
      </c>
      <c r="X38">
        <v>19.399999999999999</v>
      </c>
      <c r="Y38">
        <v>0</v>
      </c>
      <c r="Z38">
        <v>0</v>
      </c>
      <c r="AA38">
        <v>0</v>
      </c>
      <c r="AB38">
        <v>9.6199999999999992</v>
      </c>
      <c r="AC38">
        <v>0</v>
      </c>
      <c r="AD38">
        <v>1</v>
      </c>
      <c r="AE38">
        <v>1</v>
      </c>
      <c r="AF38" t="s">
        <v>3</v>
      </c>
      <c r="AG38">
        <v>19.399999999999999</v>
      </c>
      <c r="AH38">
        <v>2</v>
      </c>
      <c r="AI38">
        <v>34750831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34750832</v>
      </c>
      <c r="C39">
        <v>34750830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257</v>
      </c>
      <c r="J39" t="s">
        <v>3</v>
      </c>
      <c r="K39" t="s">
        <v>258</v>
      </c>
      <c r="L39">
        <v>1191</v>
      </c>
      <c r="N39">
        <v>1013</v>
      </c>
      <c r="O39" t="s">
        <v>254</v>
      </c>
      <c r="P39" t="s">
        <v>254</v>
      </c>
      <c r="Q39">
        <v>1</v>
      </c>
      <c r="X39">
        <v>3.42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3</v>
      </c>
      <c r="AG39">
        <v>3.42</v>
      </c>
      <c r="AH39">
        <v>2</v>
      </c>
      <c r="AI39">
        <v>34750832</v>
      </c>
      <c r="AJ39">
        <v>37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34750833</v>
      </c>
      <c r="C40">
        <v>34750830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262</v>
      </c>
      <c r="P40" t="s">
        <v>262</v>
      </c>
      <c r="Q40">
        <v>1</v>
      </c>
      <c r="X40">
        <v>3.18</v>
      </c>
      <c r="Y40">
        <v>0</v>
      </c>
      <c r="Z40">
        <v>111.99</v>
      </c>
      <c r="AA40">
        <v>13.5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3.18</v>
      </c>
      <c r="AH40">
        <v>2</v>
      </c>
      <c r="AI40">
        <v>34750833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34750834</v>
      </c>
      <c r="C41">
        <v>34750830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266</v>
      </c>
      <c r="J41" t="s">
        <v>267</v>
      </c>
      <c r="K41" t="s">
        <v>268</v>
      </c>
      <c r="L41">
        <v>1368</v>
      </c>
      <c r="N41">
        <v>1011</v>
      </c>
      <c r="O41" t="s">
        <v>262</v>
      </c>
      <c r="P41" t="s">
        <v>262</v>
      </c>
      <c r="Q41">
        <v>1</v>
      </c>
      <c r="X41">
        <v>0.24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0.24</v>
      </c>
      <c r="AH41">
        <v>2</v>
      </c>
      <c r="AI41">
        <v>34750834</v>
      </c>
      <c r="AJ41">
        <v>39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34750835</v>
      </c>
      <c r="C42">
        <v>34750830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284</v>
      </c>
      <c r="J42" t="s">
        <v>285</v>
      </c>
      <c r="K42" t="s">
        <v>286</v>
      </c>
      <c r="L42">
        <v>1368</v>
      </c>
      <c r="N42">
        <v>1011</v>
      </c>
      <c r="O42" t="s">
        <v>262</v>
      </c>
      <c r="P42" t="s">
        <v>262</v>
      </c>
      <c r="Q42">
        <v>1</v>
      </c>
      <c r="X42">
        <v>1.35</v>
      </c>
      <c r="Y42">
        <v>0</v>
      </c>
      <c r="Z42">
        <v>8.1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1.35</v>
      </c>
      <c r="AH42">
        <v>2</v>
      </c>
      <c r="AI42">
        <v>34750835</v>
      </c>
      <c r="AJ42">
        <v>40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34750836</v>
      </c>
      <c r="C43">
        <v>34750830</v>
      </c>
      <c r="D43">
        <v>31444704</v>
      </c>
      <c r="E43">
        <v>1</v>
      </c>
      <c r="F43">
        <v>1</v>
      </c>
      <c r="G43">
        <v>1</v>
      </c>
      <c r="H43">
        <v>3</v>
      </c>
      <c r="I43" t="s">
        <v>287</v>
      </c>
      <c r="J43" t="s">
        <v>288</v>
      </c>
      <c r="K43" t="s">
        <v>289</v>
      </c>
      <c r="L43">
        <v>1348</v>
      </c>
      <c r="N43">
        <v>1009</v>
      </c>
      <c r="O43" t="s">
        <v>290</v>
      </c>
      <c r="P43" t="s">
        <v>290</v>
      </c>
      <c r="Q43">
        <v>1000</v>
      </c>
      <c r="X43">
        <v>6.0000000000000002E-5</v>
      </c>
      <c r="Y43">
        <v>17500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6.0000000000000002E-5</v>
      </c>
      <c r="AH43">
        <v>2</v>
      </c>
      <c r="AI43">
        <v>34750836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34750837</v>
      </c>
      <c r="C44">
        <v>34750830</v>
      </c>
      <c r="D44">
        <v>31447861</v>
      </c>
      <c r="E44">
        <v>1</v>
      </c>
      <c r="F44">
        <v>1</v>
      </c>
      <c r="G44">
        <v>1</v>
      </c>
      <c r="H44">
        <v>3</v>
      </c>
      <c r="I44" t="s">
        <v>291</v>
      </c>
      <c r="J44" t="s">
        <v>292</v>
      </c>
      <c r="K44" t="s">
        <v>293</v>
      </c>
      <c r="L44">
        <v>1346</v>
      </c>
      <c r="N44">
        <v>1009</v>
      </c>
      <c r="O44" t="s">
        <v>272</v>
      </c>
      <c r="P44" t="s">
        <v>272</v>
      </c>
      <c r="Q44">
        <v>1</v>
      </c>
      <c r="X44">
        <v>0.3</v>
      </c>
      <c r="Y44">
        <v>10.57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0.3</v>
      </c>
      <c r="AH44">
        <v>2</v>
      </c>
      <c r="AI44">
        <v>34750837</v>
      </c>
      <c r="AJ44">
        <v>42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ROW(Source!A31)</f>
        <v>31</v>
      </c>
      <c r="B45">
        <v>34750838</v>
      </c>
      <c r="C45">
        <v>34750830</v>
      </c>
      <c r="D45">
        <v>31449051</v>
      </c>
      <c r="E45">
        <v>1</v>
      </c>
      <c r="F45">
        <v>1</v>
      </c>
      <c r="G45">
        <v>1</v>
      </c>
      <c r="H45">
        <v>3</v>
      </c>
      <c r="I45" t="s">
        <v>269</v>
      </c>
      <c r="J45" t="s">
        <v>270</v>
      </c>
      <c r="K45" t="s">
        <v>271</v>
      </c>
      <c r="L45">
        <v>1346</v>
      </c>
      <c r="N45">
        <v>1009</v>
      </c>
      <c r="O45" t="s">
        <v>272</v>
      </c>
      <c r="P45" t="s">
        <v>272</v>
      </c>
      <c r="Q45">
        <v>1</v>
      </c>
      <c r="X45">
        <v>11.4</v>
      </c>
      <c r="Y45">
        <v>9.0399999999999991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11.4</v>
      </c>
      <c r="AH45">
        <v>2</v>
      </c>
      <c r="AI45">
        <v>34750838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ROW(Source!A31)</f>
        <v>31</v>
      </c>
      <c r="B46">
        <v>34750839</v>
      </c>
      <c r="C46">
        <v>34750830</v>
      </c>
      <c r="D46">
        <v>31449788</v>
      </c>
      <c r="E46">
        <v>1</v>
      </c>
      <c r="F46">
        <v>1</v>
      </c>
      <c r="G46">
        <v>1</v>
      </c>
      <c r="H46">
        <v>3</v>
      </c>
      <c r="I46" t="s">
        <v>294</v>
      </c>
      <c r="J46" t="s">
        <v>295</v>
      </c>
      <c r="K46" t="s">
        <v>296</v>
      </c>
      <c r="L46">
        <v>1346</v>
      </c>
      <c r="N46">
        <v>1009</v>
      </c>
      <c r="O46" t="s">
        <v>272</v>
      </c>
      <c r="P46" t="s">
        <v>272</v>
      </c>
      <c r="Q46">
        <v>1</v>
      </c>
      <c r="X46">
        <v>4</v>
      </c>
      <c r="Y46">
        <v>50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4</v>
      </c>
      <c r="AH46">
        <v>2</v>
      </c>
      <c r="AI46">
        <v>34750839</v>
      </c>
      <c r="AJ46">
        <v>44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ROW(Source!A31)</f>
        <v>31</v>
      </c>
      <c r="B47">
        <v>34750840</v>
      </c>
      <c r="C47">
        <v>34750830</v>
      </c>
      <c r="D47">
        <v>31450124</v>
      </c>
      <c r="E47">
        <v>1</v>
      </c>
      <c r="F47">
        <v>1</v>
      </c>
      <c r="G47">
        <v>1</v>
      </c>
      <c r="H47">
        <v>3</v>
      </c>
      <c r="I47" t="s">
        <v>297</v>
      </c>
      <c r="J47" t="s">
        <v>298</v>
      </c>
      <c r="K47" t="s">
        <v>299</v>
      </c>
      <c r="L47">
        <v>1330</v>
      </c>
      <c r="N47">
        <v>1005</v>
      </c>
      <c r="O47" t="s">
        <v>300</v>
      </c>
      <c r="P47" t="s">
        <v>300</v>
      </c>
      <c r="Q47">
        <v>10</v>
      </c>
      <c r="X47">
        <v>3.3000000000000002E-2</v>
      </c>
      <c r="Y47">
        <v>79.099999999999994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3.3000000000000002E-2</v>
      </c>
      <c r="AH47">
        <v>2</v>
      </c>
      <c r="AI47">
        <v>34750840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ROW(Source!A31)</f>
        <v>31</v>
      </c>
      <c r="B48">
        <v>34750841</v>
      </c>
      <c r="C48">
        <v>34750830</v>
      </c>
      <c r="D48">
        <v>31470585</v>
      </c>
      <c r="E48">
        <v>1</v>
      </c>
      <c r="F48">
        <v>1</v>
      </c>
      <c r="G48">
        <v>1</v>
      </c>
      <c r="H48">
        <v>3</v>
      </c>
      <c r="I48" t="s">
        <v>301</v>
      </c>
      <c r="J48" t="s">
        <v>302</v>
      </c>
      <c r="K48" t="s">
        <v>303</v>
      </c>
      <c r="L48">
        <v>1348</v>
      </c>
      <c r="N48">
        <v>1009</v>
      </c>
      <c r="O48" t="s">
        <v>290</v>
      </c>
      <c r="P48" t="s">
        <v>290</v>
      </c>
      <c r="Q48">
        <v>1000</v>
      </c>
      <c r="X48">
        <v>0.01</v>
      </c>
      <c r="Y48">
        <v>5000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0.01</v>
      </c>
      <c r="AH48">
        <v>2</v>
      </c>
      <c r="AI48">
        <v>34750841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ROW(Source!A31)</f>
        <v>31</v>
      </c>
      <c r="B49">
        <v>34750842</v>
      </c>
      <c r="C49">
        <v>34750830</v>
      </c>
      <c r="D49">
        <v>31482923</v>
      </c>
      <c r="E49">
        <v>1</v>
      </c>
      <c r="F49">
        <v>1</v>
      </c>
      <c r="G49">
        <v>1</v>
      </c>
      <c r="H49">
        <v>3</v>
      </c>
      <c r="I49" t="s">
        <v>304</v>
      </c>
      <c r="J49" t="s">
        <v>305</v>
      </c>
      <c r="K49" t="s">
        <v>306</v>
      </c>
      <c r="L49">
        <v>1346</v>
      </c>
      <c r="N49">
        <v>1009</v>
      </c>
      <c r="O49" t="s">
        <v>272</v>
      </c>
      <c r="P49" t="s">
        <v>272</v>
      </c>
      <c r="Q49">
        <v>1</v>
      </c>
      <c r="X49">
        <v>0.33</v>
      </c>
      <c r="Y49">
        <v>28.6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0.33</v>
      </c>
      <c r="AH49">
        <v>2</v>
      </c>
      <c r="AI49">
        <v>34750842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ROW(Source!A31)</f>
        <v>31</v>
      </c>
      <c r="B50">
        <v>34750843</v>
      </c>
      <c r="C50">
        <v>34750830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277</v>
      </c>
      <c r="J50" t="s">
        <v>3</v>
      </c>
      <c r="K50" t="s">
        <v>278</v>
      </c>
      <c r="L50">
        <v>1374</v>
      </c>
      <c r="N50">
        <v>1013</v>
      </c>
      <c r="O50" t="s">
        <v>279</v>
      </c>
      <c r="P50" t="s">
        <v>279</v>
      </c>
      <c r="Q50">
        <v>1</v>
      </c>
      <c r="X50">
        <v>3.73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3.73</v>
      </c>
      <c r="AH50">
        <v>2</v>
      </c>
      <c r="AI50">
        <v>34750843</v>
      </c>
      <c r="AJ50">
        <v>48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ROW(Source!A32)</f>
        <v>32</v>
      </c>
      <c r="B51">
        <v>34750455</v>
      </c>
      <c r="C51">
        <v>34750454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280</v>
      </c>
      <c r="J51" t="s">
        <v>3</v>
      </c>
      <c r="K51" t="s">
        <v>281</v>
      </c>
      <c r="L51">
        <v>1191</v>
      </c>
      <c r="N51">
        <v>1013</v>
      </c>
      <c r="O51" t="s">
        <v>254</v>
      </c>
      <c r="P51" t="s">
        <v>254</v>
      </c>
      <c r="Q51">
        <v>1</v>
      </c>
      <c r="X51">
        <v>5.76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5.76</v>
      </c>
      <c r="AH51">
        <v>2</v>
      </c>
      <c r="AI51">
        <v>34750455</v>
      </c>
      <c r="AJ51">
        <v>49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34750456</v>
      </c>
      <c r="C52">
        <v>34750454</v>
      </c>
      <c r="D52">
        <v>32163380</v>
      </c>
      <c r="E52">
        <v>1</v>
      </c>
      <c r="F52">
        <v>1</v>
      </c>
      <c r="G52">
        <v>1</v>
      </c>
      <c r="H52">
        <v>1</v>
      </c>
      <c r="I52" t="s">
        <v>282</v>
      </c>
      <c r="J52" t="s">
        <v>3</v>
      </c>
      <c r="K52" t="s">
        <v>283</v>
      </c>
      <c r="L52">
        <v>1191</v>
      </c>
      <c r="N52">
        <v>1013</v>
      </c>
      <c r="O52" t="s">
        <v>254</v>
      </c>
      <c r="P52" t="s">
        <v>254</v>
      </c>
      <c r="Q52">
        <v>1</v>
      </c>
      <c r="X52">
        <v>8.64</v>
      </c>
      <c r="Y52">
        <v>0</v>
      </c>
      <c r="Z52">
        <v>0</v>
      </c>
      <c r="AA52">
        <v>0</v>
      </c>
      <c r="AB52">
        <v>14.09</v>
      </c>
      <c r="AC52">
        <v>0</v>
      </c>
      <c r="AD52">
        <v>1</v>
      </c>
      <c r="AE52">
        <v>1</v>
      </c>
      <c r="AF52" t="s">
        <v>3</v>
      </c>
      <c r="AG52">
        <v>8.64</v>
      </c>
      <c r="AH52">
        <v>2</v>
      </c>
      <c r="AI52">
        <v>34750456</v>
      </c>
      <c r="AJ52">
        <v>50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ROW(Source!A33)</f>
        <v>33</v>
      </c>
      <c r="B53">
        <v>34750455</v>
      </c>
      <c r="C53">
        <v>34750454</v>
      </c>
      <c r="D53">
        <v>32163326</v>
      </c>
      <c r="E53">
        <v>1</v>
      </c>
      <c r="F53">
        <v>1</v>
      </c>
      <c r="G53">
        <v>1</v>
      </c>
      <c r="H53">
        <v>1</v>
      </c>
      <c r="I53" t="s">
        <v>280</v>
      </c>
      <c r="J53" t="s">
        <v>3</v>
      </c>
      <c r="K53" t="s">
        <v>281</v>
      </c>
      <c r="L53">
        <v>1191</v>
      </c>
      <c r="N53">
        <v>1013</v>
      </c>
      <c r="O53" t="s">
        <v>254</v>
      </c>
      <c r="P53" t="s">
        <v>254</v>
      </c>
      <c r="Q53">
        <v>1</v>
      </c>
      <c r="X53">
        <v>5.76</v>
      </c>
      <c r="Y53">
        <v>0</v>
      </c>
      <c r="Z53">
        <v>0</v>
      </c>
      <c r="AA53">
        <v>0</v>
      </c>
      <c r="AB53">
        <v>9.17</v>
      </c>
      <c r="AC53">
        <v>0</v>
      </c>
      <c r="AD53">
        <v>1</v>
      </c>
      <c r="AE53">
        <v>1</v>
      </c>
      <c r="AF53" t="s">
        <v>3</v>
      </c>
      <c r="AG53">
        <v>5.76</v>
      </c>
      <c r="AH53">
        <v>2</v>
      </c>
      <c r="AI53">
        <v>34750455</v>
      </c>
      <c r="AJ53">
        <v>51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34750456</v>
      </c>
      <c r="C54">
        <v>34750454</v>
      </c>
      <c r="D54">
        <v>32163380</v>
      </c>
      <c r="E54">
        <v>1</v>
      </c>
      <c r="F54">
        <v>1</v>
      </c>
      <c r="G54">
        <v>1</v>
      </c>
      <c r="H54">
        <v>1</v>
      </c>
      <c r="I54" t="s">
        <v>282</v>
      </c>
      <c r="J54" t="s">
        <v>3</v>
      </c>
      <c r="K54" t="s">
        <v>283</v>
      </c>
      <c r="L54">
        <v>1191</v>
      </c>
      <c r="N54">
        <v>1013</v>
      </c>
      <c r="O54" t="s">
        <v>254</v>
      </c>
      <c r="P54" t="s">
        <v>254</v>
      </c>
      <c r="Q54">
        <v>1</v>
      </c>
      <c r="X54">
        <v>8.64</v>
      </c>
      <c r="Y54">
        <v>0</v>
      </c>
      <c r="Z54">
        <v>0</v>
      </c>
      <c r="AA54">
        <v>0</v>
      </c>
      <c r="AB54">
        <v>14.09</v>
      </c>
      <c r="AC54">
        <v>0</v>
      </c>
      <c r="AD54">
        <v>1</v>
      </c>
      <c r="AE54">
        <v>1</v>
      </c>
      <c r="AF54" t="s">
        <v>3</v>
      </c>
      <c r="AG54">
        <v>8.64</v>
      </c>
      <c r="AH54">
        <v>2</v>
      </c>
      <c r="AI54">
        <v>34750456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ROW(Source!A34)</f>
        <v>34</v>
      </c>
      <c r="B55">
        <v>34750658</v>
      </c>
      <c r="C55">
        <v>34750657</v>
      </c>
      <c r="D55">
        <v>31725395</v>
      </c>
      <c r="E55">
        <v>1</v>
      </c>
      <c r="F55">
        <v>1</v>
      </c>
      <c r="G55">
        <v>1</v>
      </c>
      <c r="H55">
        <v>1</v>
      </c>
      <c r="I55" t="s">
        <v>307</v>
      </c>
      <c r="J55" t="s">
        <v>3</v>
      </c>
      <c r="K55" t="s">
        <v>308</v>
      </c>
      <c r="L55">
        <v>1191</v>
      </c>
      <c r="N55">
        <v>1013</v>
      </c>
      <c r="O55" t="s">
        <v>254</v>
      </c>
      <c r="P55" t="s">
        <v>254</v>
      </c>
      <c r="Q55">
        <v>1</v>
      </c>
      <c r="X55">
        <v>0.7</v>
      </c>
      <c r="Y55">
        <v>0</v>
      </c>
      <c r="Z55">
        <v>0</v>
      </c>
      <c r="AA55">
        <v>0</v>
      </c>
      <c r="AB55">
        <v>9.92</v>
      </c>
      <c r="AC55">
        <v>0</v>
      </c>
      <c r="AD55">
        <v>1</v>
      </c>
      <c r="AE55">
        <v>1</v>
      </c>
      <c r="AF55" t="s">
        <v>3</v>
      </c>
      <c r="AG55">
        <v>0.7</v>
      </c>
      <c r="AH55">
        <v>2</v>
      </c>
      <c r="AI55">
        <v>34750658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ROW(Source!A34)</f>
        <v>34</v>
      </c>
      <c r="B56">
        <v>34750659</v>
      </c>
      <c r="C56">
        <v>34750657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257</v>
      </c>
      <c r="J56" t="s">
        <v>3</v>
      </c>
      <c r="K56" t="s">
        <v>258</v>
      </c>
      <c r="L56">
        <v>1191</v>
      </c>
      <c r="N56">
        <v>1013</v>
      </c>
      <c r="O56" t="s">
        <v>254</v>
      </c>
      <c r="P56" t="s">
        <v>254</v>
      </c>
      <c r="Q56">
        <v>1</v>
      </c>
      <c r="X56">
        <v>0.02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0.02</v>
      </c>
      <c r="AH56">
        <v>2</v>
      </c>
      <c r="AI56">
        <v>34750659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ROW(Source!A34)</f>
        <v>34</v>
      </c>
      <c r="B57">
        <v>34750660</v>
      </c>
      <c r="C57">
        <v>34750657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259</v>
      </c>
      <c r="J57" t="s">
        <v>260</v>
      </c>
      <c r="K57" t="s">
        <v>261</v>
      </c>
      <c r="L57">
        <v>1368</v>
      </c>
      <c r="N57">
        <v>1011</v>
      </c>
      <c r="O57" t="s">
        <v>262</v>
      </c>
      <c r="P57" t="s">
        <v>262</v>
      </c>
      <c r="Q57">
        <v>1</v>
      </c>
      <c r="X57">
        <v>0.01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0.01</v>
      </c>
      <c r="AH57">
        <v>2</v>
      </c>
      <c r="AI57">
        <v>34750660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ROW(Source!A34)</f>
        <v>34</v>
      </c>
      <c r="B58">
        <v>34750661</v>
      </c>
      <c r="C58">
        <v>34750657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266</v>
      </c>
      <c r="J58" t="s">
        <v>267</v>
      </c>
      <c r="K58" t="s">
        <v>268</v>
      </c>
      <c r="L58">
        <v>1368</v>
      </c>
      <c r="N58">
        <v>1011</v>
      </c>
      <c r="O58" t="s">
        <v>262</v>
      </c>
      <c r="P58" t="s">
        <v>262</v>
      </c>
      <c r="Q58">
        <v>1</v>
      </c>
      <c r="X58">
        <v>0.01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0.01</v>
      </c>
      <c r="AH58">
        <v>2</v>
      </c>
      <c r="AI58">
        <v>34750661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ROW(Source!A34)</f>
        <v>34</v>
      </c>
      <c r="B59">
        <v>34750662</v>
      </c>
      <c r="C59">
        <v>34750657</v>
      </c>
      <c r="D59">
        <v>31449058</v>
      </c>
      <c r="E59">
        <v>1</v>
      </c>
      <c r="F59">
        <v>1</v>
      </c>
      <c r="G59">
        <v>1</v>
      </c>
      <c r="H59">
        <v>3</v>
      </c>
      <c r="I59" t="s">
        <v>309</v>
      </c>
      <c r="J59" t="s">
        <v>310</v>
      </c>
      <c r="K59" t="s">
        <v>311</v>
      </c>
      <c r="L59">
        <v>1348</v>
      </c>
      <c r="N59">
        <v>1009</v>
      </c>
      <c r="O59" t="s">
        <v>290</v>
      </c>
      <c r="P59" t="s">
        <v>290</v>
      </c>
      <c r="Q59">
        <v>1000</v>
      </c>
      <c r="X59">
        <v>3.0000000000000001E-5</v>
      </c>
      <c r="Y59">
        <v>12430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3.0000000000000001E-5</v>
      </c>
      <c r="AH59">
        <v>2</v>
      </c>
      <c r="AI59">
        <v>34750662</v>
      </c>
      <c r="AJ59">
        <v>57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ROW(Source!A34)</f>
        <v>34</v>
      </c>
      <c r="B60">
        <v>34750663</v>
      </c>
      <c r="C60">
        <v>34750657</v>
      </c>
      <c r="D60">
        <v>31443668</v>
      </c>
      <c r="E60">
        <v>17</v>
      </c>
      <c r="F60">
        <v>1</v>
      </c>
      <c r="G60">
        <v>1</v>
      </c>
      <c r="H60">
        <v>3</v>
      </c>
      <c r="I60" t="s">
        <v>277</v>
      </c>
      <c r="J60" t="s">
        <v>3</v>
      </c>
      <c r="K60" t="s">
        <v>278</v>
      </c>
      <c r="L60">
        <v>1374</v>
      </c>
      <c r="N60">
        <v>1013</v>
      </c>
      <c r="O60" t="s">
        <v>279</v>
      </c>
      <c r="P60" t="s">
        <v>279</v>
      </c>
      <c r="Q60">
        <v>1</v>
      </c>
      <c r="X60">
        <v>0.14000000000000001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0.14000000000000001</v>
      </c>
      <c r="AH60">
        <v>2</v>
      </c>
      <c r="AI60">
        <v>34750663</v>
      </c>
      <c r="AJ60">
        <v>58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34750658</v>
      </c>
      <c r="C61">
        <v>34750657</v>
      </c>
      <c r="D61">
        <v>31725395</v>
      </c>
      <c r="E61">
        <v>1</v>
      </c>
      <c r="F61">
        <v>1</v>
      </c>
      <c r="G61">
        <v>1</v>
      </c>
      <c r="H61">
        <v>1</v>
      </c>
      <c r="I61" t="s">
        <v>307</v>
      </c>
      <c r="J61" t="s">
        <v>3</v>
      </c>
      <c r="K61" t="s">
        <v>308</v>
      </c>
      <c r="L61">
        <v>1191</v>
      </c>
      <c r="N61">
        <v>1013</v>
      </c>
      <c r="O61" t="s">
        <v>254</v>
      </c>
      <c r="P61" t="s">
        <v>254</v>
      </c>
      <c r="Q61">
        <v>1</v>
      </c>
      <c r="X61">
        <v>0.7</v>
      </c>
      <c r="Y61">
        <v>0</v>
      </c>
      <c r="Z61">
        <v>0</v>
      </c>
      <c r="AA61">
        <v>0</v>
      </c>
      <c r="AB61">
        <v>9.92</v>
      </c>
      <c r="AC61">
        <v>0</v>
      </c>
      <c r="AD61">
        <v>1</v>
      </c>
      <c r="AE61">
        <v>1</v>
      </c>
      <c r="AF61" t="s">
        <v>3</v>
      </c>
      <c r="AG61">
        <v>0.7</v>
      </c>
      <c r="AH61">
        <v>2</v>
      </c>
      <c r="AI61">
        <v>34750658</v>
      </c>
      <c r="AJ61">
        <v>59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34750659</v>
      </c>
      <c r="C62">
        <v>34750657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257</v>
      </c>
      <c r="J62" t="s">
        <v>3</v>
      </c>
      <c r="K62" t="s">
        <v>258</v>
      </c>
      <c r="L62">
        <v>1191</v>
      </c>
      <c r="N62">
        <v>1013</v>
      </c>
      <c r="O62" t="s">
        <v>254</v>
      </c>
      <c r="P62" t="s">
        <v>254</v>
      </c>
      <c r="Q62">
        <v>1</v>
      </c>
      <c r="X62">
        <v>0.02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2</v>
      </c>
      <c r="AF62" t="s">
        <v>3</v>
      </c>
      <c r="AG62">
        <v>0.02</v>
      </c>
      <c r="AH62">
        <v>2</v>
      </c>
      <c r="AI62">
        <v>34750659</v>
      </c>
      <c r="AJ62">
        <v>60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34750660</v>
      </c>
      <c r="C63">
        <v>34750657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259</v>
      </c>
      <c r="J63" t="s">
        <v>260</v>
      </c>
      <c r="K63" t="s">
        <v>261</v>
      </c>
      <c r="L63">
        <v>1368</v>
      </c>
      <c r="N63">
        <v>1011</v>
      </c>
      <c r="O63" t="s">
        <v>262</v>
      </c>
      <c r="P63" t="s">
        <v>262</v>
      </c>
      <c r="Q63">
        <v>1</v>
      </c>
      <c r="X63">
        <v>0.01</v>
      </c>
      <c r="Y63">
        <v>0</v>
      </c>
      <c r="Z63">
        <v>111.99</v>
      </c>
      <c r="AA63">
        <v>13.5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2</v>
      </c>
      <c r="AI63">
        <v>34750660</v>
      </c>
      <c r="AJ63">
        <v>61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34750661</v>
      </c>
      <c r="C64">
        <v>34750657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266</v>
      </c>
      <c r="J64" t="s">
        <v>267</v>
      </c>
      <c r="K64" t="s">
        <v>268</v>
      </c>
      <c r="L64">
        <v>1368</v>
      </c>
      <c r="N64">
        <v>1011</v>
      </c>
      <c r="O64" t="s">
        <v>262</v>
      </c>
      <c r="P64" t="s">
        <v>262</v>
      </c>
      <c r="Q64">
        <v>1</v>
      </c>
      <c r="X64">
        <v>0.01</v>
      </c>
      <c r="Y64">
        <v>0</v>
      </c>
      <c r="Z64">
        <v>65.709999999999994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0.01</v>
      </c>
      <c r="AH64">
        <v>2</v>
      </c>
      <c r="AI64">
        <v>34750661</v>
      </c>
      <c r="AJ64">
        <v>62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ROW(Source!A35)</f>
        <v>35</v>
      </c>
      <c r="B65">
        <v>34750662</v>
      </c>
      <c r="C65">
        <v>34750657</v>
      </c>
      <c r="D65">
        <v>31449058</v>
      </c>
      <c r="E65">
        <v>1</v>
      </c>
      <c r="F65">
        <v>1</v>
      </c>
      <c r="G65">
        <v>1</v>
      </c>
      <c r="H65">
        <v>3</v>
      </c>
      <c r="I65" t="s">
        <v>309</v>
      </c>
      <c r="J65" t="s">
        <v>310</v>
      </c>
      <c r="K65" t="s">
        <v>311</v>
      </c>
      <c r="L65">
        <v>1348</v>
      </c>
      <c r="N65">
        <v>1009</v>
      </c>
      <c r="O65" t="s">
        <v>290</v>
      </c>
      <c r="P65" t="s">
        <v>290</v>
      </c>
      <c r="Q65">
        <v>1000</v>
      </c>
      <c r="X65">
        <v>3.0000000000000001E-5</v>
      </c>
      <c r="Y65">
        <v>12430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3.0000000000000001E-5</v>
      </c>
      <c r="AH65">
        <v>2</v>
      </c>
      <c r="AI65">
        <v>34750662</v>
      </c>
      <c r="AJ65">
        <v>63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ROW(Source!A35)</f>
        <v>35</v>
      </c>
      <c r="B66">
        <v>34750663</v>
      </c>
      <c r="C66">
        <v>34750657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277</v>
      </c>
      <c r="J66" t="s">
        <v>3</v>
      </c>
      <c r="K66" t="s">
        <v>278</v>
      </c>
      <c r="L66">
        <v>1374</v>
      </c>
      <c r="N66">
        <v>1013</v>
      </c>
      <c r="O66" t="s">
        <v>279</v>
      </c>
      <c r="P66" t="s">
        <v>279</v>
      </c>
      <c r="Q66">
        <v>1</v>
      </c>
      <c r="X66">
        <v>0.14000000000000001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0.14000000000000001</v>
      </c>
      <c r="AH66">
        <v>2</v>
      </c>
      <c r="AI66">
        <v>34750663</v>
      </c>
      <c r="AJ66">
        <v>64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ROW(Source!A36)</f>
        <v>36</v>
      </c>
      <c r="B67">
        <v>34748717</v>
      </c>
      <c r="C67">
        <v>34748716</v>
      </c>
      <c r="D67">
        <v>31757860</v>
      </c>
      <c r="E67">
        <v>1</v>
      </c>
      <c r="F67">
        <v>1</v>
      </c>
      <c r="G67">
        <v>1</v>
      </c>
      <c r="H67">
        <v>1</v>
      </c>
      <c r="I67" t="s">
        <v>312</v>
      </c>
      <c r="J67" t="s">
        <v>3</v>
      </c>
      <c r="K67" t="s">
        <v>313</v>
      </c>
      <c r="L67">
        <v>1191</v>
      </c>
      <c r="N67">
        <v>1013</v>
      </c>
      <c r="O67" t="s">
        <v>254</v>
      </c>
      <c r="P67" t="s">
        <v>254</v>
      </c>
      <c r="Q67">
        <v>1</v>
      </c>
      <c r="X67">
        <v>9.27</v>
      </c>
      <c r="Y67">
        <v>0</v>
      </c>
      <c r="Z67">
        <v>0</v>
      </c>
      <c r="AA67">
        <v>0</v>
      </c>
      <c r="AB67">
        <v>11.09</v>
      </c>
      <c r="AC67">
        <v>0</v>
      </c>
      <c r="AD67">
        <v>1</v>
      </c>
      <c r="AE67">
        <v>1</v>
      </c>
      <c r="AF67" t="s">
        <v>3</v>
      </c>
      <c r="AG67">
        <v>9.27</v>
      </c>
      <c r="AH67">
        <v>2</v>
      </c>
      <c r="AI67">
        <v>34748717</v>
      </c>
      <c r="AJ67">
        <v>65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ROW(Source!A36)</f>
        <v>36</v>
      </c>
      <c r="B68">
        <v>34748718</v>
      </c>
      <c r="C68">
        <v>34748716</v>
      </c>
      <c r="D68">
        <v>31449933</v>
      </c>
      <c r="E68">
        <v>1</v>
      </c>
      <c r="F68">
        <v>1</v>
      </c>
      <c r="G68">
        <v>1</v>
      </c>
      <c r="H68">
        <v>3</v>
      </c>
      <c r="I68" t="s">
        <v>314</v>
      </c>
      <c r="J68" t="s">
        <v>315</v>
      </c>
      <c r="K68" t="s">
        <v>316</v>
      </c>
      <c r="L68">
        <v>1346</v>
      </c>
      <c r="N68">
        <v>1009</v>
      </c>
      <c r="O68" t="s">
        <v>272</v>
      </c>
      <c r="P68" t="s">
        <v>272</v>
      </c>
      <c r="Q68">
        <v>1</v>
      </c>
      <c r="X68">
        <v>0.2</v>
      </c>
      <c r="Y68">
        <v>23.09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0.2</v>
      </c>
      <c r="AH68">
        <v>2</v>
      </c>
      <c r="AI68">
        <v>34748718</v>
      </c>
      <c r="AJ68">
        <v>66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ROW(Source!A36)</f>
        <v>36</v>
      </c>
      <c r="B69">
        <v>34748719</v>
      </c>
      <c r="C69">
        <v>34748716</v>
      </c>
      <c r="D69">
        <v>31515411</v>
      </c>
      <c r="E69">
        <v>1</v>
      </c>
      <c r="F69">
        <v>1</v>
      </c>
      <c r="G69">
        <v>1</v>
      </c>
      <c r="H69">
        <v>3</v>
      </c>
      <c r="I69" t="s">
        <v>317</v>
      </c>
      <c r="J69" t="s">
        <v>318</v>
      </c>
      <c r="K69" t="s">
        <v>319</v>
      </c>
      <c r="L69">
        <v>1355</v>
      </c>
      <c r="N69">
        <v>1010</v>
      </c>
      <c r="O69" t="s">
        <v>320</v>
      </c>
      <c r="P69" t="s">
        <v>320</v>
      </c>
      <c r="Q69">
        <v>100</v>
      </c>
      <c r="X69">
        <v>0.25</v>
      </c>
      <c r="Y69">
        <v>30.74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0.25</v>
      </c>
      <c r="AH69">
        <v>2</v>
      </c>
      <c r="AI69">
        <v>34748719</v>
      </c>
      <c r="AJ69">
        <v>67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ROW(Source!A36)</f>
        <v>36</v>
      </c>
      <c r="B70">
        <v>34748720</v>
      </c>
      <c r="C70">
        <v>34748716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277</v>
      </c>
      <c r="J70" t="s">
        <v>3</v>
      </c>
      <c r="K70" t="s">
        <v>278</v>
      </c>
      <c r="L70">
        <v>1374</v>
      </c>
      <c r="N70">
        <v>1013</v>
      </c>
      <c r="O70" t="s">
        <v>279</v>
      </c>
      <c r="P70" t="s">
        <v>279</v>
      </c>
      <c r="Q70">
        <v>1</v>
      </c>
      <c r="X70">
        <v>2.06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2.06</v>
      </c>
      <c r="AH70">
        <v>2</v>
      </c>
      <c r="AI70">
        <v>34748720</v>
      </c>
      <c r="AJ70">
        <v>68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ROW(Source!A37)</f>
        <v>37</v>
      </c>
      <c r="B71">
        <v>34748717</v>
      </c>
      <c r="C71">
        <v>34748716</v>
      </c>
      <c r="D71">
        <v>31757860</v>
      </c>
      <c r="E71">
        <v>1</v>
      </c>
      <c r="F71">
        <v>1</v>
      </c>
      <c r="G71">
        <v>1</v>
      </c>
      <c r="H71">
        <v>1</v>
      </c>
      <c r="I71" t="s">
        <v>312</v>
      </c>
      <c r="J71" t="s">
        <v>3</v>
      </c>
      <c r="K71" t="s">
        <v>313</v>
      </c>
      <c r="L71">
        <v>1191</v>
      </c>
      <c r="N71">
        <v>1013</v>
      </c>
      <c r="O71" t="s">
        <v>254</v>
      </c>
      <c r="P71" t="s">
        <v>254</v>
      </c>
      <c r="Q71">
        <v>1</v>
      </c>
      <c r="X71">
        <v>9.27</v>
      </c>
      <c r="Y71">
        <v>0</v>
      </c>
      <c r="Z71">
        <v>0</v>
      </c>
      <c r="AA71">
        <v>0</v>
      </c>
      <c r="AB71">
        <v>11.09</v>
      </c>
      <c r="AC71">
        <v>0</v>
      </c>
      <c r="AD71">
        <v>1</v>
      </c>
      <c r="AE71">
        <v>1</v>
      </c>
      <c r="AF71" t="s">
        <v>3</v>
      </c>
      <c r="AG71">
        <v>9.27</v>
      </c>
      <c r="AH71">
        <v>2</v>
      </c>
      <c r="AI71">
        <v>34748717</v>
      </c>
      <c r="AJ71">
        <v>69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ROW(Source!A37)</f>
        <v>37</v>
      </c>
      <c r="B72">
        <v>34748718</v>
      </c>
      <c r="C72">
        <v>34748716</v>
      </c>
      <c r="D72">
        <v>31449933</v>
      </c>
      <c r="E72">
        <v>1</v>
      </c>
      <c r="F72">
        <v>1</v>
      </c>
      <c r="G72">
        <v>1</v>
      </c>
      <c r="H72">
        <v>3</v>
      </c>
      <c r="I72" t="s">
        <v>314</v>
      </c>
      <c r="J72" t="s">
        <v>315</v>
      </c>
      <c r="K72" t="s">
        <v>316</v>
      </c>
      <c r="L72">
        <v>1346</v>
      </c>
      <c r="N72">
        <v>1009</v>
      </c>
      <c r="O72" t="s">
        <v>272</v>
      </c>
      <c r="P72" t="s">
        <v>272</v>
      </c>
      <c r="Q72">
        <v>1</v>
      </c>
      <c r="X72">
        <v>0.2</v>
      </c>
      <c r="Y72">
        <v>23.09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34748718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34748719</v>
      </c>
      <c r="C73">
        <v>34748716</v>
      </c>
      <c r="D73">
        <v>31515411</v>
      </c>
      <c r="E73">
        <v>1</v>
      </c>
      <c r="F73">
        <v>1</v>
      </c>
      <c r="G73">
        <v>1</v>
      </c>
      <c r="H73">
        <v>3</v>
      </c>
      <c r="I73" t="s">
        <v>317</v>
      </c>
      <c r="J73" t="s">
        <v>318</v>
      </c>
      <c r="K73" t="s">
        <v>319</v>
      </c>
      <c r="L73">
        <v>1355</v>
      </c>
      <c r="N73">
        <v>1010</v>
      </c>
      <c r="O73" t="s">
        <v>320</v>
      </c>
      <c r="P73" t="s">
        <v>320</v>
      </c>
      <c r="Q73">
        <v>100</v>
      </c>
      <c r="X73">
        <v>0.25</v>
      </c>
      <c r="Y73">
        <v>30.74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0.25</v>
      </c>
      <c r="AH73">
        <v>2</v>
      </c>
      <c r="AI73">
        <v>34748719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34748720</v>
      </c>
      <c r="C74">
        <v>34748716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277</v>
      </c>
      <c r="J74" t="s">
        <v>3</v>
      </c>
      <c r="K74" t="s">
        <v>278</v>
      </c>
      <c r="L74">
        <v>1374</v>
      </c>
      <c r="N74">
        <v>1013</v>
      </c>
      <c r="O74" t="s">
        <v>279</v>
      </c>
      <c r="P74" t="s">
        <v>279</v>
      </c>
      <c r="Q74">
        <v>1</v>
      </c>
      <c r="X74">
        <v>2.06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2.06</v>
      </c>
      <c r="AH74">
        <v>2</v>
      </c>
      <c r="AI74">
        <v>34748720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34748724</v>
      </c>
      <c r="C75">
        <v>34748723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255</v>
      </c>
      <c r="J75" t="s">
        <v>3</v>
      </c>
      <c r="K75" t="s">
        <v>256</v>
      </c>
      <c r="L75">
        <v>1191</v>
      </c>
      <c r="N75">
        <v>1013</v>
      </c>
      <c r="O75" t="s">
        <v>254</v>
      </c>
      <c r="P75" t="s">
        <v>254</v>
      </c>
      <c r="Q75">
        <v>1</v>
      </c>
      <c r="X75">
        <v>9.6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9.6</v>
      </c>
      <c r="AH75">
        <v>2</v>
      </c>
      <c r="AI75">
        <v>34748724</v>
      </c>
      <c r="AJ75">
        <v>73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34748725</v>
      </c>
      <c r="C76">
        <v>34748723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277</v>
      </c>
      <c r="J76" t="s">
        <v>3</v>
      </c>
      <c r="K76" t="s">
        <v>278</v>
      </c>
      <c r="L76">
        <v>1374</v>
      </c>
      <c r="N76">
        <v>1013</v>
      </c>
      <c r="O76" t="s">
        <v>279</v>
      </c>
      <c r="P76" t="s">
        <v>279</v>
      </c>
      <c r="Q76">
        <v>1</v>
      </c>
      <c r="X76">
        <v>1.85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1.85</v>
      </c>
      <c r="AH76">
        <v>2</v>
      </c>
      <c r="AI76">
        <v>34748725</v>
      </c>
      <c r="AJ76">
        <v>74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34748724</v>
      </c>
      <c r="C77">
        <v>34748723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255</v>
      </c>
      <c r="J77" t="s">
        <v>3</v>
      </c>
      <c r="K77" t="s">
        <v>256</v>
      </c>
      <c r="L77">
        <v>1191</v>
      </c>
      <c r="N77">
        <v>1013</v>
      </c>
      <c r="O77" t="s">
        <v>254</v>
      </c>
      <c r="P77" t="s">
        <v>254</v>
      </c>
      <c r="Q77">
        <v>1</v>
      </c>
      <c r="X77">
        <v>9.6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9.6</v>
      </c>
      <c r="AH77">
        <v>2</v>
      </c>
      <c r="AI77">
        <v>34748724</v>
      </c>
      <c r="AJ77">
        <v>75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34748725</v>
      </c>
      <c r="C78">
        <v>34748723</v>
      </c>
      <c r="D78">
        <v>31443668</v>
      </c>
      <c r="E78">
        <v>17</v>
      </c>
      <c r="F78">
        <v>1</v>
      </c>
      <c r="G78">
        <v>1</v>
      </c>
      <c r="H78">
        <v>3</v>
      </c>
      <c r="I78" t="s">
        <v>277</v>
      </c>
      <c r="J78" t="s">
        <v>3</v>
      </c>
      <c r="K78" t="s">
        <v>278</v>
      </c>
      <c r="L78">
        <v>1374</v>
      </c>
      <c r="N78">
        <v>1013</v>
      </c>
      <c r="O78" t="s">
        <v>279</v>
      </c>
      <c r="P78" t="s">
        <v>279</v>
      </c>
      <c r="Q78">
        <v>1</v>
      </c>
      <c r="X78">
        <v>1.85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1.85</v>
      </c>
      <c r="AH78">
        <v>2</v>
      </c>
      <c r="AI78">
        <v>34748725</v>
      </c>
      <c r="AJ78">
        <v>76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34748729</v>
      </c>
      <c r="C79">
        <v>34748728</v>
      </c>
      <c r="D79">
        <v>31709544</v>
      </c>
      <c r="E79">
        <v>1</v>
      </c>
      <c r="F79">
        <v>1</v>
      </c>
      <c r="G79">
        <v>1</v>
      </c>
      <c r="H79">
        <v>1</v>
      </c>
      <c r="I79" t="s">
        <v>321</v>
      </c>
      <c r="J79" t="s">
        <v>3</v>
      </c>
      <c r="K79" t="s">
        <v>322</v>
      </c>
      <c r="L79">
        <v>1191</v>
      </c>
      <c r="N79">
        <v>1013</v>
      </c>
      <c r="O79" t="s">
        <v>254</v>
      </c>
      <c r="P79" t="s">
        <v>254</v>
      </c>
      <c r="Q79">
        <v>1</v>
      </c>
      <c r="X79">
        <v>42.5</v>
      </c>
      <c r="Y79">
        <v>0</v>
      </c>
      <c r="Z79">
        <v>0</v>
      </c>
      <c r="AA79">
        <v>0</v>
      </c>
      <c r="AB79">
        <v>9.07</v>
      </c>
      <c r="AC79">
        <v>0</v>
      </c>
      <c r="AD79">
        <v>1</v>
      </c>
      <c r="AE79">
        <v>1</v>
      </c>
      <c r="AF79" t="s">
        <v>3</v>
      </c>
      <c r="AG79">
        <v>42.5</v>
      </c>
      <c r="AH79">
        <v>2</v>
      </c>
      <c r="AI79">
        <v>34748729</v>
      </c>
      <c r="AJ79">
        <v>77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34748730</v>
      </c>
      <c r="C80">
        <v>34748728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257</v>
      </c>
      <c r="J80" t="s">
        <v>3</v>
      </c>
      <c r="K80" t="s">
        <v>258</v>
      </c>
      <c r="L80">
        <v>1191</v>
      </c>
      <c r="N80">
        <v>1013</v>
      </c>
      <c r="O80" t="s">
        <v>254</v>
      </c>
      <c r="P80" t="s">
        <v>254</v>
      </c>
      <c r="Q80">
        <v>1</v>
      </c>
      <c r="X80">
        <v>1.74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1.74</v>
      </c>
      <c r="AH80">
        <v>2</v>
      </c>
      <c r="AI80">
        <v>34748730</v>
      </c>
      <c r="AJ80">
        <v>78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34748731</v>
      </c>
      <c r="C81">
        <v>34748728</v>
      </c>
      <c r="D81">
        <v>31526978</v>
      </c>
      <c r="E81">
        <v>1</v>
      </c>
      <c r="F81">
        <v>1</v>
      </c>
      <c r="G81">
        <v>1</v>
      </c>
      <c r="H81">
        <v>2</v>
      </c>
      <c r="I81" t="s">
        <v>323</v>
      </c>
      <c r="J81" t="s">
        <v>324</v>
      </c>
      <c r="K81" t="s">
        <v>325</v>
      </c>
      <c r="L81">
        <v>1368</v>
      </c>
      <c r="N81">
        <v>1011</v>
      </c>
      <c r="O81" t="s">
        <v>262</v>
      </c>
      <c r="P81" t="s">
        <v>262</v>
      </c>
      <c r="Q81">
        <v>1</v>
      </c>
      <c r="X81">
        <v>1.74</v>
      </c>
      <c r="Y81">
        <v>0</v>
      </c>
      <c r="Z81">
        <v>89.99</v>
      </c>
      <c r="AA81">
        <v>10.06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1.74</v>
      </c>
      <c r="AH81">
        <v>2</v>
      </c>
      <c r="AI81">
        <v>34748731</v>
      </c>
      <c r="AJ81">
        <v>79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34748732</v>
      </c>
      <c r="C82">
        <v>34748728</v>
      </c>
      <c r="D82">
        <v>31449550</v>
      </c>
      <c r="E82">
        <v>1</v>
      </c>
      <c r="F82">
        <v>1</v>
      </c>
      <c r="G82">
        <v>1</v>
      </c>
      <c r="H82">
        <v>3</v>
      </c>
      <c r="I82" t="s">
        <v>326</v>
      </c>
      <c r="J82" t="s">
        <v>327</v>
      </c>
      <c r="K82" t="s">
        <v>328</v>
      </c>
      <c r="L82">
        <v>1348</v>
      </c>
      <c r="N82">
        <v>1009</v>
      </c>
      <c r="O82" t="s">
        <v>290</v>
      </c>
      <c r="P82" t="s">
        <v>290</v>
      </c>
      <c r="Q82">
        <v>1000</v>
      </c>
      <c r="X82">
        <v>1.39E-3</v>
      </c>
      <c r="Y82">
        <v>12430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1.39E-3</v>
      </c>
      <c r="AH82">
        <v>2</v>
      </c>
      <c r="AI82">
        <v>34748732</v>
      </c>
      <c r="AJ82">
        <v>80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ROW(Source!A40)</f>
        <v>40</v>
      </c>
      <c r="B83">
        <v>34748733</v>
      </c>
      <c r="C83">
        <v>34748728</v>
      </c>
      <c r="D83">
        <v>31451091</v>
      </c>
      <c r="E83">
        <v>1</v>
      </c>
      <c r="F83">
        <v>1</v>
      </c>
      <c r="G83">
        <v>1</v>
      </c>
      <c r="H83">
        <v>3</v>
      </c>
      <c r="I83" t="s">
        <v>329</v>
      </c>
      <c r="J83" t="s">
        <v>330</v>
      </c>
      <c r="K83" t="s">
        <v>331</v>
      </c>
      <c r="L83">
        <v>1348</v>
      </c>
      <c r="N83">
        <v>1009</v>
      </c>
      <c r="O83" t="s">
        <v>290</v>
      </c>
      <c r="P83" t="s">
        <v>290</v>
      </c>
      <c r="Q83">
        <v>1000</v>
      </c>
      <c r="X83">
        <v>3.3E-3</v>
      </c>
      <c r="Y83">
        <v>729.98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3.3E-3</v>
      </c>
      <c r="AH83">
        <v>2</v>
      </c>
      <c r="AI83">
        <v>34748733</v>
      </c>
      <c r="AJ83">
        <v>81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ROW(Source!A40)</f>
        <v>40</v>
      </c>
      <c r="B84">
        <v>34748734</v>
      </c>
      <c r="C84">
        <v>34748728</v>
      </c>
      <c r="D84">
        <v>31470212</v>
      </c>
      <c r="E84">
        <v>1</v>
      </c>
      <c r="F84">
        <v>1</v>
      </c>
      <c r="G84">
        <v>1</v>
      </c>
      <c r="H84">
        <v>3</v>
      </c>
      <c r="I84" t="s">
        <v>332</v>
      </c>
      <c r="J84" t="s">
        <v>333</v>
      </c>
      <c r="K84" t="s">
        <v>334</v>
      </c>
      <c r="L84">
        <v>1348</v>
      </c>
      <c r="N84">
        <v>1009</v>
      </c>
      <c r="O84" t="s">
        <v>290</v>
      </c>
      <c r="P84" t="s">
        <v>290</v>
      </c>
      <c r="Q84">
        <v>1000</v>
      </c>
      <c r="X84">
        <v>3.6000000000000002E-4</v>
      </c>
      <c r="Y84">
        <v>10200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3.6000000000000002E-4</v>
      </c>
      <c r="AH84">
        <v>2</v>
      </c>
      <c r="AI84">
        <v>34748734</v>
      </c>
      <c r="AJ84">
        <v>82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ROW(Source!A40)</f>
        <v>40</v>
      </c>
      <c r="B85">
        <v>34748735</v>
      </c>
      <c r="C85">
        <v>34748728</v>
      </c>
      <c r="D85">
        <v>31505175</v>
      </c>
      <c r="E85">
        <v>1</v>
      </c>
      <c r="F85">
        <v>1</v>
      </c>
      <c r="G85">
        <v>1</v>
      </c>
      <c r="H85">
        <v>3</v>
      </c>
      <c r="I85" t="s">
        <v>335</v>
      </c>
      <c r="J85" t="s">
        <v>336</v>
      </c>
      <c r="K85" t="s">
        <v>337</v>
      </c>
      <c r="L85">
        <v>1355</v>
      </c>
      <c r="N85">
        <v>1010</v>
      </c>
      <c r="O85" t="s">
        <v>320</v>
      </c>
      <c r="P85" t="s">
        <v>320</v>
      </c>
      <c r="Q85">
        <v>100</v>
      </c>
      <c r="X85">
        <v>3.12</v>
      </c>
      <c r="Y85">
        <v>155.74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3.12</v>
      </c>
      <c r="AH85">
        <v>2</v>
      </c>
      <c r="AI85">
        <v>34748735</v>
      </c>
      <c r="AJ85">
        <v>83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ROW(Source!A40)</f>
        <v>40</v>
      </c>
      <c r="B86">
        <v>34748736</v>
      </c>
      <c r="C86">
        <v>34748728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277</v>
      </c>
      <c r="J86" t="s">
        <v>3</v>
      </c>
      <c r="K86" t="s">
        <v>278</v>
      </c>
      <c r="L86">
        <v>1374</v>
      </c>
      <c r="N86">
        <v>1013</v>
      </c>
      <c r="O86" t="s">
        <v>279</v>
      </c>
      <c r="P86" t="s">
        <v>279</v>
      </c>
      <c r="Q86">
        <v>1</v>
      </c>
      <c r="X86">
        <v>7.71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7.71</v>
      </c>
      <c r="AH86">
        <v>2</v>
      </c>
      <c r="AI86">
        <v>34748736</v>
      </c>
      <c r="AJ86">
        <v>84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ROW(Source!A41)</f>
        <v>41</v>
      </c>
      <c r="B87">
        <v>34748729</v>
      </c>
      <c r="C87">
        <v>34748728</v>
      </c>
      <c r="D87">
        <v>31709544</v>
      </c>
      <c r="E87">
        <v>1</v>
      </c>
      <c r="F87">
        <v>1</v>
      </c>
      <c r="G87">
        <v>1</v>
      </c>
      <c r="H87">
        <v>1</v>
      </c>
      <c r="I87" t="s">
        <v>321</v>
      </c>
      <c r="J87" t="s">
        <v>3</v>
      </c>
      <c r="K87" t="s">
        <v>322</v>
      </c>
      <c r="L87">
        <v>1191</v>
      </c>
      <c r="N87">
        <v>1013</v>
      </c>
      <c r="O87" t="s">
        <v>254</v>
      </c>
      <c r="P87" t="s">
        <v>254</v>
      </c>
      <c r="Q87">
        <v>1</v>
      </c>
      <c r="X87">
        <v>42.5</v>
      </c>
      <c r="Y87">
        <v>0</v>
      </c>
      <c r="Z87">
        <v>0</v>
      </c>
      <c r="AA87">
        <v>0</v>
      </c>
      <c r="AB87">
        <v>9.07</v>
      </c>
      <c r="AC87">
        <v>0</v>
      </c>
      <c r="AD87">
        <v>1</v>
      </c>
      <c r="AE87">
        <v>1</v>
      </c>
      <c r="AF87" t="s">
        <v>3</v>
      </c>
      <c r="AG87">
        <v>42.5</v>
      </c>
      <c r="AH87">
        <v>2</v>
      </c>
      <c r="AI87">
        <v>34748729</v>
      </c>
      <c r="AJ87">
        <v>85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ROW(Source!A41)</f>
        <v>41</v>
      </c>
      <c r="B88">
        <v>34748730</v>
      </c>
      <c r="C88">
        <v>34748728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257</v>
      </c>
      <c r="J88" t="s">
        <v>3</v>
      </c>
      <c r="K88" t="s">
        <v>258</v>
      </c>
      <c r="L88">
        <v>1191</v>
      </c>
      <c r="N88">
        <v>1013</v>
      </c>
      <c r="O88" t="s">
        <v>254</v>
      </c>
      <c r="P88" t="s">
        <v>254</v>
      </c>
      <c r="Q88">
        <v>1</v>
      </c>
      <c r="X88">
        <v>1.74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1.74</v>
      </c>
      <c r="AH88">
        <v>2</v>
      </c>
      <c r="AI88">
        <v>34748730</v>
      </c>
      <c r="AJ88">
        <v>86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ROW(Source!A41)</f>
        <v>41</v>
      </c>
      <c r="B89">
        <v>34748731</v>
      </c>
      <c r="C89">
        <v>34748728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323</v>
      </c>
      <c r="J89" t="s">
        <v>324</v>
      </c>
      <c r="K89" t="s">
        <v>325</v>
      </c>
      <c r="L89">
        <v>1368</v>
      </c>
      <c r="N89">
        <v>1011</v>
      </c>
      <c r="O89" t="s">
        <v>262</v>
      </c>
      <c r="P89" t="s">
        <v>262</v>
      </c>
      <c r="Q89">
        <v>1</v>
      </c>
      <c r="X89">
        <v>1.74</v>
      </c>
      <c r="Y89">
        <v>0</v>
      </c>
      <c r="Z89">
        <v>89.99</v>
      </c>
      <c r="AA89">
        <v>10.06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1.74</v>
      </c>
      <c r="AH89">
        <v>2</v>
      </c>
      <c r="AI89">
        <v>34748731</v>
      </c>
      <c r="AJ89">
        <v>87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ROW(Source!A41)</f>
        <v>41</v>
      </c>
      <c r="B90">
        <v>34748732</v>
      </c>
      <c r="C90">
        <v>34748728</v>
      </c>
      <c r="D90">
        <v>31449550</v>
      </c>
      <c r="E90">
        <v>1</v>
      </c>
      <c r="F90">
        <v>1</v>
      </c>
      <c r="G90">
        <v>1</v>
      </c>
      <c r="H90">
        <v>3</v>
      </c>
      <c r="I90" t="s">
        <v>326</v>
      </c>
      <c r="J90" t="s">
        <v>327</v>
      </c>
      <c r="K90" t="s">
        <v>328</v>
      </c>
      <c r="L90">
        <v>1348</v>
      </c>
      <c r="N90">
        <v>1009</v>
      </c>
      <c r="O90" t="s">
        <v>290</v>
      </c>
      <c r="P90" t="s">
        <v>290</v>
      </c>
      <c r="Q90">
        <v>1000</v>
      </c>
      <c r="X90">
        <v>1.39E-3</v>
      </c>
      <c r="Y90">
        <v>12430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1.39E-3</v>
      </c>
      <c r="AH90">
        <v>2</v>
      </c>
      <c r="AI90">
        <v>34748732</v>
      </c>
      <c r="AJ90">
        <v>88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ROW(Source!A41)</f>
        <v>41</v>
      </c>
      <c r="B91">
        <v>34748733</v>
      </c>
      <c r="C91">
        <v>34748728</v>
      </c>
      <c r="D91">
        <v>31451091</v>
      </c>
      <c r="E91">
        <v>1</v>
      </c>
      <c r="F91">
        <v>1</v>
      </c>
      <c r="G91">
        <v>1</v>
      </c>
      <c r="H91">
        <v>3</v>
      </c>
      <c r="I91" t="s">
        <v>329</v>
      </c>
      <c r="J91" t="s">
        <v>330</v>
      </c>
      <c r="K91" t="s">
        <v>331</v>
      </c>
      <c r="L91">
        <v>1348</v>
      </c>
      <c r="N91">
        <v>1009</v>
      </c>
      <c r="O91" t="s">
        <v>290</v>
      </c>
      <c r="P91" t="s">
        <v>290</v>
      </c>
      <c r="Q91">
        <v>1000</v>
      </c>
      <c r="X91">
        <v>3.3E-3</v>
      </c>
      <c r="Y91">
        <v>729.98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3.3E-3</v>
      </c>
      <c r="AH91">
        <v>2</v>
      </c>
      <c r="AI91">
        <v>34748733</v>
      </c>
      <c r="AJ91">
        <v>89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ROW(Source!A41)</f>
        <v>41</v>
      </c>
      <c r="B92">
        <v>34748734</v>
      </c>
      <c r="C92">
        <v>34748728</v>
      </c>
      <c r="D92">
        <v>31470212</v>
      </c>
      <c r="E92">
        <v>1</v>
      </c>
      <c r="F92">
        <v>1</v>
      </c>
      <c r="G92">
        <v>1</v>
      </c>
      <c r="H92">
        <v>3</v>
      </c>
      <c r="I92" t="s">
        <v>332</v>
      </c>
      <c r="J92" t="s">
        <v>333</v>
      </c>
      <c r="K92" t="s">
        <v>334</v>
      </c>
      <c r="L92">
        <v>1348</v>
      </c>
      <c r="N92">
        <v>1009</v>
      </c>
      <c r="O92" t="s">
        <v>290</v>
      </c>
      <c r="P92" t="s">
        <v>290</v>
      </c>
      <c r="Q92">
        <v>1000</v>
      </c>
      <c r="X92">
        <v>3.6000000000000002E-4</v>
      </c>
      <c r="Y92">
        <v>10200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3.6000000000000002E-4</v>
      </c>
      <c r="AH92">
        <v>2</v>
      </c>
      <c r="AI92">
        <v>34748734</v>
      </c>
      <c r="AJ92">
        <v>90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ROW(Source!A41)</f>
        <v>41</v>
      </c>
      <c r="B93">
        <v>34748735</v>
      </c>
      <c r="C93">
        <v>34748728</v>
      </c>
      <c r="D93">
        <v>31505175</v>
      </c>
      <c r="E93">
        <v>1</v>
      </c>
      <c r="F93">
        <v>1</v>
      </c>
      <c r="G93">
        <v>1</v>
      </c>
      <c r="H93">
        <v>3</v>
      </c>
      <c r="I93" t="s">
        <v>335</v>
      </c>
      <c r="J93" t="s">
        <v>336</v>
      </c>
      <c r="K93" t="s">
        <v>337</v>
      </c>
      <c r="L93">
        <v>1355</v>
      </c>
      <c r="N93">
        <v>1010</v>
      </c>
      <c r="O93" t="s">
        <v>320</v>
      </c>
      <c r="P93" t="s">
        <v>320</v>
      </c>
      <c r="Q93">
        <v>100</v>
      </c>
      <c r="X93">
        <v>3.12</v>
      </c>
      <c r="Y93">
        <v>155.74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3.12</v>
      </c>
      <c r="AH93">
        <v>2</v>
      </c>
      <c r="AI93">
        <v>34748735</v>
      </c>
      <c r="AJ93">
        <v>91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ROW(Source!A41)</f>
        <v>41</v>
      </c>
      <c r="B94">
        <v>34748736</v>
      </c>
      <c r="C94">
        <v>34748728</v>
      </c>
      <c r="D94">
        <v>31443668</v>
      </c>
      <c r="E94">
        <v>17</v>
      </c>
      <c r="F94">
        <v>1</v>
      </c>
      <c r="G94">
        <v>1</v>
      </c>
      <c r="H94">
        <v>3</v>
      </c>
      <c r="I94" t="s">
        <v>277</v>
      </c>
      <c r="J94" t="s">
        <v>3</v>
      </c>
      <c r="K94" t="s">
        <v>278</v>
      </c>
      <c r="L94">
        <v>1374</v>
      </c>
      <c r="N94">
        <v>1013</v>
      </c>
      <c r="O94" t="s">
        <v>279</v>
      </c>
      <c r="P94" t="s">
        <v>279</v>
      </c>
      <c r="Q94">
        <v>1</v>
      </c>
      <c r="X94">
        <v>7.71</v>
      </c>
      <c r="Y94">
        <v>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7.71</v>
      </c>
      <c r="AH94">
        <v>2</v>
      </c>
      <c r="AI94">
        <v>34748736</v>
      </c>
      <c r="AJ94">
        <v>92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ROW(Source!A42)</f>
        <v>42</v>
      </c>
      <c r="B95">
        <v>34748748</v>
      </c>
      <c r="C95">
        <v>34748747</v>
      </c>
      <c r="D95">
        <v>32164293</v>
      </c>
      <c r="E95">
        <v>1</v>
      </c>
      <c r="F95">
        <v>1</v>
      </c>
      <c r="G95">
        <v>1</v>
      </c>
      <c r="H95">
        <v>1</v>
      </c>
      <c r="I95" t="s">
        <v>338</v>
      </c>
      <c r="J95" t="s">
        <v>3</v>
      </c>
      <c r="K95" t="s">
        <v>339</v>
      </c>
      <c r="L95">
        <v>1191</v>
      </c>
      <c r="N95">
        <v>1013</v>
      </c>
      <c r="O95" t="s">
        <v>254</v>
      </c>
      <c r="P95" t="s">
        <v>254</v>
      </c>
      <c r="Q95">
        <v>1</v>
      </c>
      <c r="X95">
        <v>0.81</v>
      </c>
      <c r="Y95">
        <v>0</v>
      </c>
      <c r="Z95">
        <v>0</v>
      </c>
      <c r="AA95">
        <v>0</v>
      </c>
      <c r="AB95">
        <v>12.92</v>
      </c>
      <c r="AC95">
        <v>0</v>
      </c>
      <c r="AD95">
        <v>1</v>
      </c>
      <c r="AE95">
        <v>1</v>
      </c>
      <c r="AF95" t="s">
        <v>3</v>
      </c>
      <c r="AG95">
        <v>0.81</v>
      </c>
      <c r="AH95">
        <v>2</v>
      </c>
      <c r="AI95">
        <v>34748748</v>
      </c>
      <c r="AJ95">
        <v>93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ROW(Source!A42)</f>
        <v>42</v>
      </c>
      <c r="B96">
        <v>34748749</v>
      </c>
      <c r="C96">
        <v>34748747</v>
      </c>
      <c r="D96">
        <v>32163330</v>
      </c>
      <c r="E96">
        <v>1</v>
      </c>
      <c r="F96">
        <v>1</v>
      </c>
      <c r="G96">
        <v>1</v>
      </c>
      <c r="H96">
        <v>1</v>
      </c>
      <c r="I96" t="s">
        <v>340</v>
      </c>
      <c r="J96" t="s">
        <v>3</v>
      </c>
      <c r="K96" t="s">
        <v>341</v>
      </c>
      <c r="L96">
        <v>1191</v>
      </c>
      <c r="N96">
        <v>1013</v>
      </c>
      <c r="O96" t="s">
        <v>254</v>
      </c>
      <c r="P96" t="s">
        <v>254</v>
      </c>
      <c r="Q96">
        <v>1</v>
      </c>
      <c r="X96">
        <v>0.81</v>
      </c>
      <c r="Y96">
        <v>0</v>
      </c>
      <c r="Z96">
        <v>0</v>
      </c>
      <c r="AA96">
        <v>0</v>
      </c>
      <c r="AB96">
        <v>12.69</v>
      </c>
      <c r="AC96">
        <v>0</v>
      </c>
      <c r="AD96">
        <v>1</v>
      </c>
      <c r="AE96">
        <v>1</v>
      </c>
      <c r="AF96" t="s">
        <v>3</v>
      </c>
      <c r="AG96">
        <v>0.81</v>
      </c>
      <c r="AH96">
        <v>2</v>
      </c>
      <c r="AI96">
        <v>34748749</v>
      </c>
      <c r="AJ96">
        <v>94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ROW(Source!A43)</f>
        <v>43</v>
      </c>
      <c r="B97">
        <v>34748748</v>
      </c>
      <c r="C97">
        <v>34748747</v>
      </c>
      <c r="D97">
        <v>32164293</v>
      </c>
      <c r="E97">
        <v>1</v>
      </c>
      <c r="F97">
        <v>1</v>
      </c>
      <c r="G97">
        <v>1</v>
      </c>
      <c r="H97">
        <v>1</v>
      </c>
      <c r="I97" t="s">
        <v>338</v>
      </c>
      <c r="J97" t="s">
        <v>3</v>
      </c>
      <c r="K97" t="s">
        <v>339</v>
      </c>
      <c r="L97">
        <v>1191</v>
      </c>
      <c r="N97">
        <v>1013</v>
      </c>
      <c r="O97" t="s">
        <v>254</v>
      </c>
      <c r="P97" t="s">
        <v>254</v>
      </c>
      <c r="Q97">
        <v>1</v>
      </c>
      <c r="X97">
        <v>0.81</v>
      </c>
      <c r="Y97">
        <v>0</v>
      </c>
      <c r="Z97">
        <v>0</v>
      </c>
      <c r="AA97">
        <v>0</v>
      </c>
      <c r="AB97">
        <v>12.92</v>
      </c>
      <c r="AC97">
        <v>0</v>
      </c>
      <c r="AD97">
        <v>1</v>
      </c>
      <c r="AE97">
        <v>1</v>
      </c>
      <c r="AF97" t="s">
        <v>3</v>
      </c>
      <c r="AG97">
        <v>0.81</v>
      </c>
      <c r="AH97">
        <v>2</v>
      </c>
      <c r="AI97">
        <v>34748748</v>
      </c>
      <c r="AJ97">
        <v>95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ROW(Source!A43)</f>
        <v>43</v>
      </c>
      <c r="B98">
        <v>34748749</v>
      </c>
      <c r="C98">
        <v>34748747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340</v>
      </c>
      <c r="J98" t="s">
        <v>3</v>
      </c>
      <c r="K98" t="s">
        <v>341</v>
      </c>
      <c r="L98">
        <v>1191</v>
      </c>
      <c r="N98">
        <v>1013</v>
      </c>
      <c r="O98" t="s">
        <v>254</v>
      </c>
      <c r="P98" t="s">
        <v>254</v>
      </c>
      <c r="Q98">
        <v>1</v>
      </c>
      <c r="X98">
        <v>0.81</v>
      </c>
      <c r="Y98">
        <v>0</v>
      </c>
      <c r="Z98">
        <v>0</v>
      </c>
      <c r="AA98">
        <v>0</v>
      </c>
      <c r="AB98">
        <v>12.69</v>
      </c>
      <c r="AC98">
        <v>0</v>
      </c>
      <c r="AD98">
        <v>1</v>
      </c>
      <c r="AE98">
        <v>1</v>
      </c>
      <c r="AF98" t="s">
        <v>3</v>
      </c>
      <c r="AG98">
        <v>0.81</v>
      </c>
      <c r="AH98">
        <v>2</v>
      </c>
      <c r="AI98">
        <v>34748749</v>
      </c>
      <c r="AJ98">
        <v>96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ROW(Source!A44)</f>
        <v>44</v>
      </c>
      <c r="B99">
        <v>34750854</v>
      </c>
      <c r="C99">
        <v>34750853</v>
      </c>
      <c r="D99">
        <v>31725395</v>
      </c>
      <c r="E99">
        <v>1</v>
      </c>
      <c r="F99">
        <v>1</v>
      </c>
      <c r="G99">
        <v>1</v>
      </c>
      <c r="H99">
        <v>1</v>
      </c>
      <c r="I99" t="s">
        <v>307</v>
      </c>
      <c r="J99" t="s">
        <v>3</v>
      </c>
      <c r="K99" t="s">
        <v>308</v>
      </c>
      <c r="L99">
        <v>1191</v>
      </c>
      <c r="N99">
        <v>1013</v>
      </c>
      <c r="O99" t="s">
        <v>254</v>
      </c>
      <c r="P99" t="s">
        <v>254</v>
      </c>
      <c r="Q99">
        <v>1</v>
      </c>
      <c r="X99">
        <v>3.58</v>
      </c>
      <c r="Y99">
        <v>0</v>
      </c>
      <c r="Z99">
        <v>0</v>
      </c>
      <c r="AA99">
        <v>0</v>
      </c>
      <c r="AB99">
        <v>9.92</v>
      </c>
      <c r="AC99">
        <v>0</v>
      </c>
      <c r="AD99">
        <v>1</v>
      </c>
      <c r="AE99">
        <v>1</v>
      </c>
      <c r="AF99" t="s">
        <v>3</v>
      </c>
      <c r="AG99">
        <v>3.58</v>
      </c>
      <c r="AH99">
        <v>2</v>
      </c>
      <c r="AI99">
        <v>34750854</v>
      </c>
      <c r="AJ99">
        <v>97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ROW(Source!A44)</f>
        <v>44</v>
      </c>
      <c r="B100">
        <v>34750855</v>
      </c>
      <c r="C100">
        <v>34750853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257</v>
      </c>
      <c r="J100" t="s">
        <v>3</v>
      </c>
      <c r="K100" t="s">
        <v>258</v>
      </c>
      <c r="L100">
        <v>1191</v>
      </c>
      <c r="N100">
        <v>1013</v>
      </c>
      <c r="O100" t="s">
        <v>254</v>
      </c>
      <c r="P100" t="s">
        <v>254</v>
      </c>
      <c r="Q100">
        <v>1</v>
      </c>
      <c r="X100">
        <v>0.05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3</v>
      </c>
      <c r="AG100">
        <v>0.05</v>
      </c>
      <c r="AH100">
        <v>2</v>
      </c>
      <c r="AI100">
        <v>34750855</v>
      </c>
      <c r="AJ100">
        <v>98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ROW(Source!A44)</f>
        <v>44</v>
      </c>
      <c r="B101">
        <v>34750856</v>
      </c>
      <c r="C101">
        <v>34750853</v>
      </c>
      <c r="D101">
        <v>31526753</v>
      </c>
      <c r="E101">
        <v>1</v>
      </c>
      <c r="F101">
        <v>1</v>
      </c>
      <c r="G101">
        <v>1</v>
      </c>
      <c r="H101">
        <v>2</v>
      </c>
      <c r="I101" t="s">
        <v>259</v>
      </c>
      <c r="J101" t="s">
        <v>260</v>
      </c>
      <c r="K101" t="s">
        <v>261</v>
      </c>
      <c r="L101">
        <v>1368</v>
      </c>
      <c r="N101">
        <v>1011</v>
      </c>
      <c r="O101" t="s">
        <v>262</v>
      </c>
      <c r="P101" t="s">
        <v>262</v>
      </c>
      <c r="Q101">
        <v>1</v>
      </c>
      <c r="X101">
        <v>0.03</v>
      </c>
      <c r="Y101">
        <v>0</v>
      </c>
      <c r="Z101">
        <v>111.99</v>
      </c>
      <c r="AA101">
        <v>13.5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0.03</v>
      </c>
      <c r="AH101">
        <v>2</v>
      </c>
      <c r="AI101">
        <v>34750856</v>
      </c>
      <c r="AJ101">
        <v>99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ROW(Source!A44)</f>
        <v>44</v>
      </c>
      <c r="B102">
        <v>34750857</v>
      </c>
      <c r="C102">
        <v>34750853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266</v>
      </c>
      <c r="J102" t="s">
        <v>267</v>
      </c>
      <c r="K102" t="s">
        <v>268</v>
      </c>
      <c r="L102">
        <v>1368</v>
      </c>
      <c r="N102">
        <v>1011</v>
      </c>
      <c r="O102" t="s">
        <v>262</v>
      </c>
      <c r="P102" t="s">
        <v>262</v>
      </c>
      <c r="Q102">
        <v>1</v>
      </c>
      <c r="X102">
        <v>0.02</v>
      </c>
      <c r="Y102">
        <v>0</v>
      </c>
      <c r="Z102">
        <v>65.709999999999994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0.02</v>
      </c>
      <c r="AH102">
        <v>2</v>
      </c>
      <c r="AI102">
        <v>34750857</v>
      </c>
      <c r="AJ102">
        <v>100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ROW(Source!A44)</f>
        <v>44</v>
      </c>
      <c r="B103">
        <v>34750858</v>
      </c>
      <c r="C103">
        <v>34750853</v>
      </c>
      <c r="D103">
        <v>31446697</v>
      </c>
      <c r="E103">
        <v>1</v>
      </c>
      <c r="F103">
        <v>1</v>
      </c>
      <c r="G103">
        <v>1</v>
      </c>
      <c r="H103">
        <v>3</v>
      </c>
      <c r="I103" t="s">
        <v>342</v>
      </c>
      <c r="J103" t="s">
        <v>343</v>
      </c>
      <c r="K103" t="s">
        <v>344</v>
      </c>
      <c r="L103">
        <v>1346</v>
      </c>
      <c r="N103">
        <v>1009</v>
      </c>
      <c r="O103" t="s">
        <v>272</v>
      </c>
      <c r="P103" t="s">
        <v>272</v>
      </c>
      <c r="Q103">
        <v>1</v>
      </c>
      <c r="X103">
        <v>0.06</v>
      </c>
      <c r="Y103">
        <v>30.4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0.06</v>
      </c>
      <c r="AH103">
        <v>2</v>
      </c>
      <c r="AI103">
        <v>34750858</v>
      </c>
      <c r="AJ103">
        <v>101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ROW(Source!A44)</f>
        <v>44</v>
      </c>
      <c r="B104">
        <v>34750859</v>
      </c>
      <c r="C104">
        <v>34750853</v>
      </c>
      <c r="D104">
        <v>31449183</v>
      </c>
      <c r="E104">
        <v>1</v>
      </c>
      <c r="F104">
        <v>1</v>
      </c>
      <c r="G104">
        <v>1</v>
      </c>
      <c r="H104">
        <v>3</v>
      </c>
      <c r="I104" t="s">
        <v>345</v>
      </c>
      <c r="J104" t="s">
        <v>346</v>
      </c>
      <c r="K104" t="s">
        <v>347</v>
      </c>
      <c r="L104">
        <v>1355</v>
      </c>
      <c r="N104">
        <v>1010</v>
      </c>
      <c r="O104" t="s">
        <v>320</v>
      </c>
      <c r="P104" t="s">
        <v>320</v>
      </c>
      <c r="Q104">
        <v>100</v>
      </c>
      <c r="X104">
        <v>0.04</v>
      </c>
      <c r="Y104">
        <v>86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0.04</v>
      </c>
      <c r="AH104">
        <v>2</v>
      </c>
      <c r="AI104">
        <v>34750859</v>
      </c>
      <c r="AJ104">
        <v>102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ROW(Source!A44)</f>
        <v>44</v>
      </c>
      <c r="B105">
        <v>34750860</v>
      </c>
      <c r="C105">
        <v>34750853</v>
      </c>
      <c r="D105">
        <v>31482923</v>
      </c>
      <c r="E105">
        <v>1</v>
      </c>
      <c r="F105">
        <v>1</v>
      </c>
      <c r="G105">
        <v>1</v>
      </c>
      <c r="H105">
        <v>3</v>
      </c>
      <c r="I105" t="s">
        <v>304</v>
      </c>
      <c r="J105" t="s">
        <v>305</v>
      </c>
      <c r="K105" t="s">
        <v>306</v>
      </c>
      <c r="L105">
        <v>1346</v>
      </c>
      <c r="N105">
        <v>1009</v>
      </c>
      <c r="O105" t="s">
        <v>272</v>
      </c>
      <c r="P105" t="s">
        <v>272</v>
      </c>
      <c r="Q105">
        <v>1</v>
      </c>
      <c r="X105">
        <v>0.02</v>
      </c>
      <c r="Y105">
        <v>28.6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0.02</v>
      </c>
      <c r="AH105">
        <v>2</v>
      </c>
      <c r="AI105">
        <v>34750860</v>
      </c>
      <c r="AJ105">
        <v>103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ROW(Source!A44)</f>
        <v>44</v>
      </c>
      <c r="B106">
        <v>34750861</v>
      </c>
      <c r="C106">
        <v>34750853</v>
      </c>
      <c r="D106">
        <v>31482960</v>
      </c>
      <c r="E106">
        <v>1</v>
      </c>
      <c r="F106">
        <v>1</v>
      </c>
      <c r="G106">
        <v>1</v>
      </c>
      <c r="H106">
        <v>3</v>
      </c>
      <c r="I106" t="s">
        <v>348</v>
      </c>
      <c r="J106" t="s">
        <v>349</v>
      </c>
      <c r="K106" t="s">
        <v>350</v>
      </c>
      <c r="L106">
        <v>1348</v>
      </c>
      <c r="N106">
        <v>1009</v>
      </c>
      <c r="O106" t="s">
        <v>290</v>
      </c>
      <c r="P106" t="s">
        <v>290</v>
      </c>
      <c r="Q106">
        <v>1000</v>
      </c>
      <c r="X106">
        <v>5.8E-4</v>
      </c>
      <c r="Y106">
        <v>7826.9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5.8E-4</v>
      </c>
      <c r="AH106">
        <v>2</v>
      </c>
      <c r="AI106">
        <v>34750861</v>
      </c>
      <c r="AJ106">
        <v>104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ROW(Source!A44)</f>
        <v>44</v>
      </c>
      <c r="B107">
        <v>34750862</v>
      </c>
      <c r="C107">
        <v>34750853</v>
      </c>
      <c r="D107">
        <v>31443668</v>
      </c>
      <c r="E107">
        <v>17</v>
      </c>
      <c r="F107">
        <v>1</v>
      </c>
      <c r="G107">
        <v>1</v>
      </c>
      <c r="H107">
        <v>3</v>
      </c>
      <c r="I107" t="s">
        <v>277</v>
      </c>
      <c r="J107" t="s">
        <v>3</v>
      </c>
      <c r="K107" t="s">
        <v>278</v>
      </c>
      <c r="L107">
        <v>1374</v>
      </c>
      <c r="N107">
        <v>1013</v>
      </c>
      <c r="O107" t="s">
        <v>279</v>
      </c>
      <c r="P107" t="s">
        <v>279</v>
      </c>
      <c r="Q107">
        <v>1</v>
      </c>
      <c r="X107">
        <v>0.71</v>
      </c>
      <c r="Y107">
        <v>1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0.71</v>
      </c>
      <c r="AH107">
        <v>2</v>
      </c>
      <c r="AI107">
        <v>34750862</v>
      </c>
      <c r="AJ107">
        <v>105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ROW(Source!A45)</f>
        <v>45</v>
      </c>
      <c r="B108">
        <v>34750854</v>
      </c>
      <c r="C108">
        <v>34750853</v>
      </c>
      <c r="D108">
        <v>31725395</v>
      </c>
      <c r="E108">
        <v>1</v>
      </c>
      <c r="F108">
        <v>1</v>
      </c>
      <c r="G108">
        <v>1</v>
      </c>
      <c r="H108">
        <v>1</v>
      </c>
      <c r="I108" t="s">
        <v>307</v>
      </c>
      <c r="J108" t="s">
        <v>3</v>
      </c>
      <c r="K108" t="s">
        <v>308</v>
      </c>
      <c r="L108">
        <v>1191</v>
      </c>
      <c r="N108">
        <v>1013</v>
      </c>
      <c r="O108" t="s">
        <v>254</v>
      </c>
      <c r="P108" t="s">
        <v>254</v>
      </c>
      <c r="Q108">
        <v>1</v>
      </c>
      <c r="X108">
        <v>3.58</v>
      </c>
      <c r="Y108">
        <v>0</v>
      </c>
      <c r="Z108">
        <v>0</v>
      </c>
      <c r="AA108">
        <v>0</v>
      </c>
      <c r="AB108">
        <v>9.92</v>
      </c>
      <c r="AC108">
        <v>0</v>
      </c>
      <c r="AD108">
        <v>1</v>
      </c>
      <c r="AE108">
        <v>1</v>
      </c>
      <c r="AF108" t="s">
        <v>3</v>
      </c>
      <c r="AG108">
        <v>3.58</v>
      </c>
      <c r="AH108">
        <v>2</v>
      </c>
      <c r="AI108">
        <v>34750854</v>
      </c>
      <c r="AJ108">
        <v>106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ROW(Source!A45)</f>
        <v>45</v>
      </c>
      <c r="B109">
        <v>34750855</v>
      </c>
      <c r="C109">
        <v>34750853</v>
      </c>
      <c r="D109">
        <v>31709492</v>
      </c>
      <c r="E109">
        <v>1</v>
      </c>
      <c r="F109">
        <v>1</v>
      </c>
      <c r="G109">
        <v>1</v>
      </c>
      <c r="H109">
        <v>1</v>
      </c>
      <c r="I109" t="s">
        <v>257</v>
      </c>
      <c r="J109" t="s">
        <v>3</v>
      </c>
      <c r="K109" t="s">
        <v>258</v>
      </c>
      <c r="L109">
        <v>1191</v>
      </c>
      <c r="N109">
        <v>1013</v>
      </c>
      <c r="O109" t="s">
        <v>254</v>
      </c>
      <c r="P109" t="s">
        <v>254</v>
      </c>
      <c r="Q109">
        <v>1</v>
      </c>
      <c r="X109">
        <v>0.05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2</v>
      </c>
      <c r="AF109" t="s">
        <v>3</v>
      </c>
      <c r="AG109">
        <v>0.05</v>
      </c>
      <c r="AH109">
        <v>2</v>
      </c>
      <c r="AI109">
        <v>34750855</v>
      </c>
      <c r="AJ109">
        <v>107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ROW(Source!A45)</f>
        <v>45</v>
      </c>
      <c r="B110">
        <v>34750856</v>
      </c>
      <c r="C110">
        <v>34750853</v>
      </c>
      <c r="D110">
        <v>31526753</v>
      </c>
      <c r="E110">
        <v>1</v>
      </c>
      <c r="F110">
        <v>1</v>
      </c>
      <c r="G110">
        <v>1</v>
      </c>
      <c r="H110">
        <v>2</v>
      </c>
      <c r="I110" t="s">
        <v>259</v>
      </c>
      <c r="J110" t="s">
        <v>260</v>
      </c>
      <c r="K110" t="s">
        <v>261</v>
      </c>
      <c r="L110">
        <v>1368</v>
      </c>
      <c r="N110">
        <v>1011</v>
      </c>
      <c r="O110" t="s">
        <v>262</v>
      </c>
      <c r="P110" t="s">
        <v>262</v>
      </c>
      <c r="Q110">
        <v>1</v>
      </c>
      <c r="X110">
        <v>0.03</v>
      </c>
      <c r="Y110">
        <v>0</v>
      </c>
      <c r="Z110">
        <v>111.99</v>
      </c>
      <c r="AA110">
        <v>13.5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0.03</v>
      </c>
      <c r="AH110">
        <v>2</v>
      </c>
      <c r="AI110">
        <v>34750856</v>
      </c>
      <c r="AJ110">
        <v>108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ROW(Source!A45)</f>
        <v>45</v>
      </c>
      <c r="B111">
        <v>34750857</v>
      </c>
      <c r="C111">
        <v>34750853</v>
      </c>
      <c r="D111">
        <v>31528142</v>
      </c>
      <c r="E111">
        <v>1</v>
      </c>
      <c r="F111">
        <v>1</v>
      </c>
      <c r="G111">
        <v>1</v>
      </c>
      <c r="H111">
        <v>2</v>
      </c>
      <c r="I111" t="s">
        <v>266</v>
      </c>
      <c r="J111" t="s">
        <v>267</v>
      </c>
      <c r="K111" t="s">
        <v>268</v>
      </c>
      <c r="L111">
        <v>1368</v>
      </c>
      <c r="N111">
        <v>1011</v>
      </c>
      <c r="O111" t="s">
        <v>262</v>
      </c>
      <c r="P111" t="s">
        <v>262</v>
      </c>
      <c r="Q111">
        <v>1</v>
      </c>
      <c r="X111">
        <v>0.02</v>
      </c>
      <c r="Y111">
        <v>0</v>
      </c>
      <c r="Z111">
        <v>65.709999999999994</v>
      </c>
      <c r="AA111">
        <v>11.6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0.02</v>
      </c>
      <c r="AH111">
        <v>2</v>
      </c>
      <c r="AI111">
        <v>34750857</v>
      </c>
      <c r="AJ111">
        <v>109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ROW(Source!A45)</f>
        <v>45</v>
      </c>
      <c r="B112">
        <v>34750858</v>
      </c>
      <c r="C112">
        <v>34750853</v>
      </c>
      <c r="D112">
        <v>31446697</v>
      </c>
      <c r="E112">
        <v>1</v>
      </c>
      <c r="F112">
        <v>1</v>
      </c>
      <c r="G112">
        <v>1</v>
      </c>
      <c r="H112">
        <v>3</v>
      </c>
      <c r="I112" t="s">
        <v>342</v>
      </c>
      <c r="J112" t="s">
        <v>343</v>
      </c>
      <c r="K112" t="s">
        <v>344</v>
      </c>
      <c r="L112">
        <v>1346</v>
      </c>
      <c r="N112">
        <v>1009</v>
      </c>
      <c r="O112" t="s">
        <v>272</v>
      </c>
      <c r="P112" t="s">
        <v>272</v>
      </c>
      <c r="Q112">
        <v>1</v>
      </c>
      <c r="X112">
        <v>0.06</v>
      </c>
      <c r="Y112">
        <v>30.4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0.06</v>
      </c>
      <c r="AH112">
        <v>2</v>
      </c>
      <c r="AI112">
        <v>34750858</v>
      </c>
      <c r="AJ112">
        <v>110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ROW(Source!A45)</f>
        <v>45</v>
      </c>
      <c r="B113">
        <v>34750859</v>
      </c>
      <c r="C113">
        <v>34750853</v>
      </c>
      <c r="D113">
        <v>31449183</v>
      </c>
      <c r="E113">
        <v>1</v>
      </c>
      <c r="F113">
        <v>1</v>
      </c>
      <c r="G113">
        <v>1</v>
      </c>
      <c r="H113">
        <v>3</v>
      </c>
      <c r="I113" t="s">
        <v>345</v>
      </c>
      <c r="J113" t="s">
        <v>346</v>
      </c>
      <c r="K113" t="s">
        <v>347</v>
      </c>
      <c r="L113">
        <v>1355</v>
      </c>
      <c r="N113">
        <v>1010</v>
      </c>
      <c r="O113" t="s">
        <v>320</v>
      </c>
      <c r="P113" t="s">
        <v>320</v>
      </c>
      <c r="Q113">
        <v>100</v>
      </c>
      <c r="X113">
        <v>0.04</v>
      </c>
      <c r="Y113">
        <v>86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0.04</v>
      </c>
      <c r="AH113">
        <v>2</v>
      </c>
      <c r="AI113">
        <v>34750859</v>
      </c>
      <c r="AJ113">
        <v>111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ROW(Source!A45)</f>
        <v>45</v>
      </c>
      <c r="B114">
        <v>34750860</v>
      </c>
      <c r="C114">
        <v>34750853</v>
      </c>
      <c r="D114">
        <v>31482923</v>
      </c>
      <c r="E114">
        <v>1</v>
      </c>
      <c r="F114">
        <v>1</v>
      </c>
      <c r="G114">
        <v>1</v>
      </c>
      <c r="H114">
        <v>3</v>
      </c>
      <c r="I114" t="s">
        <v>304</v>
      </c>
      <c r="J114" t="s">
        <v>305</v>
      </c>
      <c r="K114" t="s">
        <v>306</v>
      </c>
      <c r="L114">
        <v>1346</v>
      </c>
      <c r="N114">
        <v>1009</v>
      </c>
      <c r="O114" t="s">
        <v>272</v>
      </c>
      <c r="P114" t="s">
        <v>272</v>
      </c>
      <c r="Q114">
        <v>1</v>
      </c>
      <c r="X114">
        <v>0.02</v>
      </c>
      <c r="Y114">
        <v>28.6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0.02</v>
      </c>
      <c r="AH114">
        <v>2</v>
      </c>
      <c r="AI114">
        <v>34750860</v>
      </c>
      <c r="AJ114">
        <v>112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ROW(Source!A45)</f>
        <v>45</v>
      </c>
      <c r="B115">
        <v>34750861</v>
      </c>
      <c r="C115">
        <v>34750853</v>
      </c>
      <c r="D115">
        <v>31482960</v>
      </c>
      <c r="E115">
        <v>1</v>
      </c>
      <c r="F115">
        <v>1</v>
      </c>
      <c r="G115">
        <v>1</v>
      </c>
      <c r="H115">
        <v>3</v>
      </c>
      <c r="I115" t="s">
        <v>348</v>
      </c>
      <c r="J115" t="s">
        <v>349</v>
      </c>
      <c r="K115" t="s">
        <v>350</v>
      </c>
      <c r="L115">
        <v>1348</v>
      </c>
      <c r="N115">
        <v>1009</v>
      </c>
      <c r="O115" t="s">
        <v>290</v>
      </c>
      <c r="P115" t="s">
        <v>290</v>
      </c>
      <c r="Q115">
        <v>1000</v>
      </c>
      <c r="X115">
        <v>5.8E-4</v>
      </c>
      <c r="Y115">
        <v>7826.9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5.8E-4</v>
      </c>
      <c r="AH115">
        <v>2</v>
      </c>
      <c r="AI115">
        <v>34750861</v>
      </c>
      <c r="AJ115">
        <v>113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ROW(Source!A45)</f>
        <v>45</v>
      </c>
      <c r="B116">
        <v>34750862</v>
      </c>
      <c r="C116">
        <v>34750853</v>
      </c>
      <c r="D116">
        <v>31443668</v>
      </c>
      <c r="E116">
        <v>17</v>
      </c>
      <c r="F116">
        <v>1</v>
      </c>
      <c r="G116">
        <v>1</v>
      </c>
      <c r="H116">
        <v>3</v>
      </c>
      <c r="I116" t="s">
        <v>277</v>
      </c>
      <c r="J116" t="s">
        <v>3</v>
      </c>
      <c r="K116" t="s">
        <v>278</v>
      </c>
      <c r="L116">
        <v>1374</v>
      </c>
      <c r="N116">
        <v>1013</v>
      </c>
      <c r="O116" t="s">
        <v>279</v>
      </c>
      <c r="P116" t="s">
        <v>279</v>
      </c>
      <c r="Q116">
        <v>1</v>
      </c>
      <c r="X116">
        <v>0.71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0.71</v>
      </c>
      <c r="AH116">
        <v>2</v>
      </c>
      <c r="AI116">
        <v>34750862</v>
      </c>
      <c r="AJ116">
        <v>114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ROW(Source!A46)</f>
        <v>46</v>
      </c>
      <c r="B117">
        <v>34750867</v>
      </c>
      <c r="C117">
        <v>34750866</v>
      </c>
      <c r="D117">
        <v>31725395</v>
      </c>
      <c r="E117">
        <v>1</v>
      </c>
      <c r="F117">
        <v>1</v>
      </c>
      <c r="G117">
        <v>1</v>
      </c>
      <c r="H117">
        <v>1</v>
      </c>
      <c r="I117" t="s">
        <v>307</v>
      </c>
      <c r="J117" t="s">
        <v>3</v>
      </c>
      <c r="K117" t="s">
        <v>308</v>
      </c>
      <c r="L117">
        <v>1191</v>
      </c>
      <c r="N117">
        <v>1013</v>
      </c>
      <c r="O117" t="s">
        <v>254</v>
      </c>
      <c r="P117" t="s">
        <v>254</v>
      </c>
      <c r="Q117">
        <v>1</v>
      </c>
      <c r="X117">
        <v>0.52</v>
      </c>
      <c r="Y117">
        <v>0</v>
      </c>
      <c r="Z117">
        <v>0</v>
      </c>
      <c r="AA117">
        <v>0</v>
      </c>
      <c r="AB117">
        <v>9.92</v>
      </c>
      <c r="AC117">
        <v>0</v>
      </c>
      <c r="AD117">
        <v>1</v>
      </c>
      <c r="AE117">
        <v>1</v>
      </c>
      <c r="AF117" t="s">
        <v>3</v>
      </c>
      <c r="AG117">
        <v>0.52</v>
      </c>
      <c r="AH117">
        <v>2</v>
      </c>
      <c r="AI117">
        <v>34750867</v>
      </c>
      <c r="AJ117">
        <v>115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ROW(Source!A46)</f>
        <v>46</v>
      </c>
      <c r="B118">
        <v>34750868</v>
      </c>
      <c r="C118">
        <v>34750866</v>
      </c>
      <c r="D118">
        <v>31449041</v>
      </c>
      <c r="E118">
        <v>1</v>
      </c>
      <c r="F118">
        <v>1</v>
      </c>
      <c r="G118">
        <v>1</v>
      </c>
      <c r="H118">
        <v>3</v>
      </c>
      <c r="I118" t="s">
        <v>351</v>
      </c>
      <c r="J118" t="s">
        <v>352</v>
      </c>
      <c r="K118" t="s">
        <v>353</v>
      </c>
      <c r="L118">
        <v>1346</v>
      </c>
      <c r="N118">
        <v>1009</v>
      </c>
      <c r="O118" t="s">
        <v>272</v>
      </c>
      <c r="P118" t="s">
        <v>272</v>
      </c>
      <c r="Q118">
        <v>1</v>
      </c>
      <c r="X118">
        <v>3.5000000000000003E-2</v>
      </c>
      <c r="Y118">
        <v>28.22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3.5000000000000003E-2</v>
      </c>
      <c r="AH118">
        <v>2</v>
      </c>
      <c r="AI118">
        <v>34750868</v>
      </c>
      <c r="AJ118">
        <v>116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ROW(Source!A46)</f>
        <v>46</v>
      </c>
      <c r="B119">
        <v>34750869</v>
      </c>
      <c r="C119">
        <v>34750866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277</v>
      </c>
      <c r="J119" t="s">
        <v>3</v>
      </c>
      <c r="K119" t="s">
        <v>278</v>
      </c>
      <c r="L119">
        <v>1374</v>
      </c>
      <c r="N119">
        <v>1013</v>
      </c>
      <c r="O119" t="s">
        <v>279</v>
      </c>
      <c r="P119" t="s">
        <v>279</v>
      </c>
      <c r="Q119">
        <v>1</v>
      </c>
      <c r="X119">
        <v>0.1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0.1</v>
      </c>
      <c r="AH119">
        <v>2</v>
      </c>
      <c r="AI119">
        <v>34750869</v>
      </c>
      <c r="AJ119">
        <v>117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ROW(Source!A47)</f>
        <v>47</v>
      </c>
      <c r="B120">
        <v>34750867</v>
      </c>
      <c r="C120">
        <v>34750866</v>
      </c>
      <c r="D120">
        <v>31725395</v>
      </c>
      <c r="E120">
        <v>1</v>
      </c>
      <c r="F120">
        <v>1</v>
      </c>
      <c r="G120">
        <v>1</v>
      </c>
      <c r="H120">
        <v>1</v>
      </c>
      <c r="I120" t="s">
        <v>307</v>
      </c>
      <c r="J120" t="s">
        <v>3</v>
      </c>
      <c r="K120" t="s">
        <v>308</v>
      </c>
      <c r="L120">
        <v>1191</v>
      </c>
      <c r="N120">
        <v>1013</v>
      </c>
      <c r="O120" t="s">
        <v>254</v>
      </c>
      <c r="P120" t="s">
        <v>254</v>
      </c>
      <c r="Q120">
        <v>1</v>
      </c>
      <c r="X120">
        <v>0.52</v>
      </c>
      <c r="Y120">
        <v>0</v>
      </c>
      <c r="Z120">
        <v>0</v>
      </c>
      <c r="AA120">
        <v>0</v>
      </c>
      <c r="AB120">
        <v>9.92</v>
      </c>
      <c r="AC120">
        <v>0</v>
      </c>
      <c r="AD120">
        <v>1</v>
      </c>
      <c r="AE120">
        <v>1</v>
      </c>
      <c r="AF120" t="s">
        <v>3</v>
      </c>
      <c r="AG120">
        <v>0.52</v>
      </c>
      <c r="AH120">
        <v>2</v>
      </c>
      <c r="AI120">
        <v>34750867</v>
      </c>
      <c r="AJ120">
        <v>118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ROW(Source!A47)</f>
        <v>47</v>
      </c>
      <c r="B121">
        <v>34750868</v>
      </c>
      <c r="C121">
        <v>34750866</v>
      </c>
      <c r="D121">
        <v>31449041</v>
      </c>
      <c r="E121">
        <v>1</v>
      </c>
      <c r="F121">
        <v>1</v>
      </c>
      <c r="G121">
        <v>1</v>
      </c>
      <c r="H121">
        <v>3</v>
      </c>
      <c r="I121" t="s">
        <v>351</v>
      </c>
      <c r="J121" t="s">
        <v>352</v>
      </c>
      <c r="K121" t="s">
        <v>353</v>
      </c>
      <c r="L121">
        <v>1346</v>
      </c>
      <c r="N121">
        <v>1009</v>
      </c>
      <c r="O121" t="s">
        <v>272</v>
      </c>
      <c r="P121" t="s">
        <v>272</v>
      </c>
      <c r="Q121">
        <v>1</v>
      </c>
      <c r="X121">
        <v>3.5000000000000003E-2</v>
      </c>
      <c r="Y121">
        <v>28.22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3.5000000000000003E-2</v>
      </c>
      <c r="AH121">
        <v>2</v>
      </c>
      <c r="AI121">
        <v>34750868</v>
      </c>
      <c r="AJ121">
        <v>119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ROW(Source!A47)</f>
        <v>47</v>
      </c>
      <c r="B122">
        <v>34750869</v>
      </c>
      <c r="C122">
        <v>34750866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277</v>
      </c>
      <c r="J122" t="s">
        <v>3</v>
      </c>
      <c r="K122" t="s">
        <v>278</v>
      </c>
      <c r="L122">
        <v>1374</v>
      </c>
      <c r="N122">
        <v>1013</v>
      </c>
      <c r="O122" t="s">
        <v>279</v>
      </c>
      <c r="P122" t="s">
        <v>279</v>
      </c>
      <c r="Q122">
        <v>1</v>
      </c>
      <c r="X122">
        <v>0.1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0.1</v>
      </c>
      <c r="AH122">
        <v>2</v>
      </c>
      <c r="AI122">
        <v>34750869</v>
      </c>
      <c r="AJ122">
        <v>120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ROW(Source!A48)</f>
        <v>48</v>
      </c>
      <c r="B123">
        <v>34750998</v>
      </c>
      <c r="C123">
        <v>34750997</v>
      </c>
      <c r="D123">
        <v>32163921</v>
      </c>
      <c r="E123">
        <v>1</v>
      </c>
      <c r="F123">
        <v>1</v>
      </c>
      <c r="G123">
        <v>1</v>
      </c>
      <c r="H123">
        <v>1</v>
      </c>
      <c r="I123" t="s">
        <v>354</v>
      </c>
      <c r="J123" t="s">
        <v>3</v>
      </c>
      <c r="K123" t="s">
        <v>355</v>
      </c>
      <c r="L123">
        <v>1191</v>
      </c>
      <c r="N123">
        <v>1013</v>
      </c>
      <c r="O123" t="s">
        <v>254</v>
      </c>
      <c r="P123" t="s">
        <v>254</v>
      </c>
      <c r="Q123">
        <v>1</v>
      </c>
      <c r="X123">
        <v>6.4</v>
      </c>
      <c r="Y123">
        <v>0</v>
      </c>
      <c r="Z123">
        <v>0</v>
      </c>
      <c r="AA123">
        <v>0</v>
      </c>
      <c r="AB123">
        <v>10.210000000000001</v>
      </c>
      <c r="AC123">
        <v>0</v>
      </c>
      <c r="AD123">
        <v>1</v>
      </c>
      <c r="AE123">
        <v>1</v>
      </c>
      <c r="AF123" t="s">
        <v>3</v>
      </c>
      <c r="AG123">
        <v>6.4</v>
      </c>
      <c r="AH123">
        <v>2</v>
      </c>
      <c r="AI123">
        <v>34750998</v>
      </c>
      <c r="AJ123">
        <v>121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ROW(Source!A48)</f>
        <v>48</v>
      </c>
      <c r="B124">
        <v>34750999</v>
      </c>
      <c r="C124">
        <v>34750997</v>
      </c>
      <c r="D124">
        <v>32159941</v>
      </c>
      <c r="E124">
        <v>1</v>
      </c>
      <c r="F124">
        <v>1</v>
      </c>
      <c r="G124">
        <v>1</v>
      </c>
      <c r="H124">
        <v>1</v>
      </c>
      <c r="I124" t="s">
        <v>356</v>
      </c>
      <c r="J124" t="s">
        <v>3</v>
      </c>
      <c r="K124" t="s">
        <v>357</v>
      </c>
      <c r="L124">
        <v>1191</v>
      </c>
      <c r="N124">
        <v>1013</v>
      </c>
      <c r="O124" t="s">
        <v>254</v>
      </c>
      <c r="P124" t="s">
        <v>254</v>
      </c>
      <c r="Q124">
        <v>1</v>
      </c>
      <c r="X124">
        <v>12.8</v>
      </c>
      <c r="Y124">
        <v>0</v>
      </c>
      <c r="Z124">
        <v>0</v>
      </c>
      <c r="AA124">
        <v>0</v>
      </c>
      <c r="AB124">
        <v>16.93</v>
      </c>
      <c r="AC124">
        <v>0</v>
      </c>
      <c r="AD124">
        <v>1</v>
      </c>
      <c r="AE124">
        <v>1</v>
      </c>
      <c r="AF124" t="s">
        <v>3</v>
      </c>
      <c r="AG124">
        <v>12.8</v>
      </c>
      <c r="AH124">
        <v>2</v>
      </c>
      <c r="AI124">
        <v>34750999</v>
      </c>
      <c r="AJ124">
        <v>122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ROW(Source!A48)</f>
        <v>48</v>
      </c>
      <c r="B125">
        <v>34751000</v>
      </c>
      <c r="C125">
        <v>34750997</v>
      </c>
      <c r="D125">
        <v>32000304</v>
      </c>
      <c r="E125">
        <v>1</v>
      </c>
      <c r="F125">
        <v>1</v>
      </c>
      <c r="G125">
        <v>1</v>
      </c>
      <c r="H125">
        <v>1</v>
      </c>
      <c r="I125" t="s">
        <v>358</v>
      </c>
      <c r="J125" t="s">
        <v>3</v>
      </c>
      <c r="K125" t="s">
        <v>359</v>
      </c>
      <c r="L125">
        <v>1191</v>
      </c>
      <c r="N125">
        <v>1013</v>
      </c>
      <c r="O125" t="s">
        <v>254</v>
      </c>
      <c r="P125" t="s">
        <v>254</v>
      </c>
      <c r="Q125">
        <v>1</v>
      </c>
      <c r="X125">
        <v>25.6</v>
      </c>
      <c r="Y125">
        <v>0</v>
      </c>
      <c r="Z125">
        <v>0</v>
      </c>
      <c r="AA125">
        <v>0</v>
      </c>
      <c r="AB125">
        <v>15.49</v>
      </c>
      <c r="AC125">
        <v>0</v>
      </c>
      <c r="AD125">
        <v>1</v>
      </c>
      <c r="AE125">
        <v>1</v>
      </c>
      <c r="AF125" t="s">
        <v>3</v>
      </c>
      <c r="AG125">
        <v>25.6</v>
      </c>
      <c r="AH125">
        <v>2</v>
      </c>
      <c r="AI125">
        <v>34751000</v>
      </c>
      <c r="AJ125">
        <v>123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ROW(Source!A48)</f>
        <v>48</v>
      </c>
      <c r="B126">
        <v>34751001</v>
      </c>
      <c r="C126">
        <v>34750997</v>
      </c>
      <c r="D126">
        <v>32003081</v>
      </c>
      <c r="E126">
        <v>1</v>
      </c>
      <c r="F126">
        <v>1</v>
      </c>
      <c r="G126">
        <v>1</v>
      </c>
      <c r="H126">
        <v>1</v>
      </c>
      <c r="I126" t="s">
        <v>360</v>
      </c>
      <c r="J126" t="s">
        <v>3</v>
      </c>
      <c r="K126" t="s">
        <v>361</v>
      </c>
      <c r="L126">
        <v>1191</v>
      </c>
      <c r="N126">
        <v>1013</v>
      </c>
      <c r="O126" t="s">
        <v>254</v>
      </c>
      <c r="P126" t="s">
        <v>254</v>
      </c>
      <c r="Q126">
        <v>1</v>
      </c>
      <c r="X126">
        <v>57.6</v>
      </c>
      <c r="Y126">
        <v>0</v>
      </c>
      <c r="Z126">
        <v>0</v>
      </c>
      <c r="AA126">
        <v>0</v>
      </c>
      <c r="AB126">
        <v>14.09</v>
      </c>
      <c r="AC126">
        <v>0</v>
      </c>
      <c r="AD126">
        <v>1</v>
      </c>
      <c r="AE126">
        <v>1</v>
      </c>
      <c r="AF126" t="s">
        <v>3</v>
      </c>
      <c r="AG126">
        <v>57.6</v>
      </c>
      <c r="AH126">
        <v>2</v>
      </c>
      <c r="AI126">
        <v>34751001</v>
      </c>
      <c r="AJ126">
        <v>124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ROW(Source!A48)</f>
        <v>48</v>
      </c>
      <c r="B127">
        <v>34751002</v>
      </c>
      <c r="C127">
        <v>34750997</v>
      </c>
      <c r="D127">
        <v>32159989</v>
      </c>
      <c r="E127">
        <v>1</v>
      </c>
      <c r="F127">
        <v>1</v>
      </c>
      <c r="G127">
        <v>1</v>
      </c>
      <c r="H127">
        <v>1</v>
      </c>
      <c r="I127" t="s">
        <v>362</v>
      </c>
      <c r="J127" t="s">
        <v>3</v>
      </c>
      <c r="K127" t="s">
        <v>363</v>
      </c>
      <c r="L127">
        <v>1191</v>
      </c>
      <c r="N127">
        <v>1013</v>
      </c>
      <c r="O127" t="s">
        <v>254</v>
      </c>
      <c r="P127" t="s">
        <v>254</v>
      </c>
      <c r="Q127">
        <v>1</v>
      </c>
      <c r="X127">
        <v>25.6</v>
      </c>
      <c r="Y127">
        <v>0</v>
      </c>
      <c r="Z127">
        <v>0</v>
      </c>
      <c r="AA127">
        <v>0</v>
      </c>
      <c r="AB127">
        <v>12.69</v>
      </c>
      <c r="AC127">
        <v>0</v>
      </c>
      <c r="AD127">
        <v>1</v>
      </c>
      <c r="AE127">
        <v>1</v>
      </c>
      <c r="AF127" t="s">
        <v>3</v>
      </c>
      <c r="AG127">
        <v>25.6</v>
      </c>
      <c r="AH127">
        <v>2</v>
      </c>
      <c r="AI127">
        <v>34751002</v>
      </c>
      <c r="AJ127">
        <v>125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ROW(Source!A49)</f>
        <v>49</v>
      </c>
      <c r="B128">
        <v>34750998</v>
      </c>
      <c r="C128">
        <v>34750997</v>
      </c>
      <c r="D128">
        <v>32163921</v>
      </c>
      <c r="E128">
        <v>1</v>
      </c>
      <c r="F128">
        <v>1</v>
      </c>
      <c r="G128">
        <v>1</v>
      </c>
      <c r="H128">
        <v>1</v>
      </c>
      <c r="I128" t="s">
        <v>354</v>
      </c>
      <c r="J128" t="s">
        <v>3</v>
      </c>
      <c r="K128" t="s">
        <v>355</v>
      </c>
      <c r="L128">
        <v>1191</v>
      </c>
      <c r="N128">
        <v>1013</v>
      </c>
      <c r="O128" t="s">
        <v>254</v>
      </c>
      <c r="P128" t="s">
        <v>254</v>
      </c>
      <c r="Q128">
        <v>1</v>
      </c>
      <c r="X128">
        <v>6.4</v>
      </c>
      <c r="Y128">
        <v>0</v>
      </c>
      <c r="Z128">
        <v>0</v>
      </c>
      <c r="AA128">
        <v>0</v>
      </c>
      <c r="AB128">
        <v>10.210000000000001</v>
      </c>
      <c r="AC128">
        <v>0</v>
      </c>
      <c r="AD128">
        <v>1</v>
      </c>
      <c r="AE128">
        <v>1</v>
      </c>
      <c r="AF128" t="s">
        <v>3</v>
      </c>
      <c r="AG128">
        <v>6.4</v>
      </c>
      <c r="AH128">
        <v>2</v>
      </c>
      <c r="AI128">
        <v>34750998</v>
      </c>
      <c r="AJ128">
        <v>126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ROW(Source!A49)</f>
        <v>49</v>
      </c>
      <c r="B129">
        <v>34750999</v>
      </c>
      <c r="C129">
        <v>34750997</v>
      </c>
      <c r="D129">
        <v>32159941</v>
      </c>
      <c r="E129">
        <v>1</v>
      </c>
      <c r="F129">
        <v>1</v>
      </c>
      <c r="G129">
        <v>1</v>
      </c>
      <c r="H129">
        <v>1</v>
      </c>
      <c r="I129" t="s">
        <v>356</v>
      </c>
      <c r="J129" t="s">
        <v>3</v>
      </c>
      <c r="K129" t="s">
        <v>357</v>
      </c>
      <c r="L129">
        <v>1191</v>
      </c>
      <c r="N129">
        <v>1013</v>
      </c>
      <c r="O129" t="s">
        <v>254</v>
      </c>
      <c r="P129" t="s">
        <v>254</v>
      </c>
      <c r="Q129">
        <v>1</v>
      </c>
      <c r="X129">
        <v>12.8</v>
      </c>
      <c r="Y129">
        <v>0</v>
      </c>
      <c r="Z129">
        <v>0</v>
      </c>
      <c r="AA129">
        <v>0</v>
      </c>
      <c r="AB129">
        <v>16.93</v>
      </c>
      <c r="AC129">
        <v>0</v>
      </c>
      <c r="AD129">
        <v>1</v>
      </c>
      <c r="AE129">
        <v>1</v>
      </c>
      <c r="AF129" t="s">
        <v>3</v>
      </c>
      <c r="AG129">
        <v>12.8</v>
      </c>
      <c r="AH129">
        <v>2</v>
      </c>
      <c r="AI129">
        <v>34750999</v>
      </c>
      <c r="AJ129">
        <v>127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ROW(Source!A49)</f>
        <v>49</v>
      </c>
      <c r="B130">
        <v>34751000</v>
      </c>
      <c r="C130">
        <v>34750997</v>
      </c>
      <c r="D130">
        <v>32000304</v>
      </c>
      <c r="E130">
        <v>1</v>
      </c>
      <c r="F130">
        <v>1</v>
      </c>
      <c r="G130">
        <v>1</v>
      </c>
      <c r="H130">
        <v>1</v>
      </c>
      <c r="I130" t="s">
        <v>358</v>
      </c>
      <c r="J130" t="s">
        <v>3</v>
      </c>
      <c r="K130" t="s">
        <v>359</v>
      </c>
      <c r="L130">
        <v>1191</v>
      </c>
      <c r="N130">
        <v>1013</v>
      </c>
      <c r="O130" t="s">
        <v>254</v>
      </c>
      <c r="P130" t="s">
        <v>254</v>
      </c>
      <c r="Q130">
        <v>1</v>
      </c>
      <c r="X130">
        <v>25.6</v>
      </c>
      <c r="Y130">
        <v>0</v>
      </c>
      <c r="Z130">
        <v>0</v>
      </c>
      <c r="AA130">
        <v>0</v>
      </c>
      <c r="AB130">
        <v>15.49</v>
      </c>
      <c r="AC130">
        <v>0</v>
      </c>
      <c r="AD130">
        <v>1</v>
      </c>
      <c r="AE130">
        <v>1</v>
      </c>
      <c r="AF130" t="s">
        <v>3</v>
      </c>
      <c r="AG130">
        <v>25.6</v>
      </c>
      <c r="AH130">
        <v>2</v>
      </c>
      <c r="AI130">
        <v>34751000</v>
      </c>
      <c r="AJ130">
        <v>128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ROW(Source!A49)</f>
        <v>49</v>
      </c>
      <c r="B131">
        <v>34751001</v>
      </c>
      <c r="C131">
        <v>34750997</v>
      </c>
      <c r="D131">
        <v>32003081</v>
      </c>
      <c r="E131">
        <v>1</v>
      </c>
      <c r="F131">
        <v>1</v>
      </c>
      <c r="G131">
        <v>1</v>
      </c>
      <c r="H131">
        <v>1</v>
      </c>
      <c r="I131" t="s">
        <v>360</v>
      </c>
      <c r="J131" t="s">
        <v>3</v>
      </c>
      <c r="K131" t="s">
        <v>361</v>
      </c>
      <c r="L131">
        <v>1191</v>
      </c>
      <c r="N131">
        <v>1013</v>
      </c>
      <c r="O131" t="s">
        <v>254</v>
      </c>
      <c r="P131" t="s">
        <v>254</v>
      </c>
      <c r="Q131">
        <v>1</v>
      </c>
      <c r="X131">
        <v>57.6</v>
      </c>
      <c r="Y131">
        <v>0</v>
      </c>
      <c r="Z131">
        <v>0</v>
      </c>
      <c r="AA131">
        <v>0</v>
      </c>
      <c r="AB131">
        <v>14.09</v>
      </c>
      <c r="AC131">
        <v>0</v>
      </c>
      <c r="AD131">
        <v>1</v>
      </c>
      <c r="AE131">
        <v>1</v>
      </c>
      <c r="AF131" t="s">
        <v>3</v>
      </c>
      <c r="AG131">
        <v>57.6</v>
      </c>
      <c r="AH131">
        <v>2</v>
      </c>
      <c r="AI131">
        <v>34751001</v>
      </c>
      <c r="AJ131">
        <v>129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ROW(Source!A49)</f>
        <v>49</v>
      </c>
      <c r="B132">
        <v>34751002</v>
      </c>
      <c r="C132">
        <v>34750997</v>
      </c>
      <c r="D132">
        <v>32159989</v>
      </c>
      <c r="E132">
        <v>1</v>
      </c>
      <c r="F132">
        <v>1</v>
      </c>
      <c r="G132">
        <v>1</v>
      </c>
      <c r="H132">
        <v>1</v>
      </c>
      <c r="I132" t="s">
        <v>362</v>
      </c>
      <c r="J132" t="s">
        <v>3</v>
      </c>
      <c r="K132" t="s">
        <v>363</v>
      </c>
      <c r="L132">
        <v>1191</v>
      </c>
      <c r="N132">
        <v>1013</v>
      </c>
      <c r="O132" t="s">
        <v>254</v>
      </c>
      <c r="P132" t="s">
        <v>254</v>
      </c>
      <c r="Q132">
        <v>1</v>
      </c>
      <c r="X132">
        <v>25.6</v>
      </c>
      <c r="Y132">
        <v>0</v>
      </c>
      <c r="Z132">
        <v>0</v>
      </c>
      <c r="AA132">
        <v>0</v>
      </c>
      <c r="AB132">
        <v>12.69</v>
      </c>
      <c r="AC132">
        <v>0</v>
      </c>
      <c r="AD132">
        <v>1</v>
      </c>
      <c r="AE132">
        <v>1</v>
      </c>
      <c r="AF132" t="s">
        <v>3</v>
      </c>
      <c r="AG132">
        <v>25.6</v>
      </c>
      <c r="AH132">
        <v>2</v>
      </c>
      <c r="AI132">
        <v>34751002</v>
      </c>
      <c r="AJ132">
        <v>130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ROW(Source!A50)</f>
        <v>50</v>
      </c>
      <c r="B133">
        <v>34751085</v>
      </c>
      <c r="C133">
        <v>34751084</v>
      </c>
      <c r="D133">
        <v>32163921</v>
      </c>
      <c r="E133">
        <v>1</v>
      </c>
      <c r="F133">
        <v>1</v>
      </c>
      <c r="G133">
        <v>1</v>
      </c>
      <c r="H133">
        <v>1</v>
      </c>
      <c r="I133" t="s">
        <v>354</v>
      </c>
      <c r="J133" t="s">
        <v>3</v>
      </c>
      <c r="K133" t="s">
        <v>355</v>
      </c>
      <c r="L133">
        <v>1191</v>
      </c>
      <c r="N133">
        <v>1013</v>
      </c>
      <c r="O133" t="s">
        <v>254</v>
      </c>
      <c r="P133" t="s">
        <v>254</v>
      </c>
      <c r="Q133">
        <v>1</v>
      </c>
      <c r="X133">
        <v>0.3075</v>
      </c>
      <c r="Y133">
        <v>0</v>
      </c>
      <c r="Z133">
        <v>0</v>
      </c>
      <c r="AA133">
        <v>0</v>
      </c>
      <c r="AB133">
        <v>10.210000000000001</v>
      </c>
      <c r="AC133">
        <v>0</v>
      </c>
      <c r="AD133">
        <v>1</v>
      </c>
      <c r="AE133">
        <v>1</v>
      </c>
      <c r="AF133" t="s">
        <v>3</v>
      </c>
      <c r="AG133">
        <v>0.3075</v>
      </c>
      <c r="AH133">
        <v>2</v>
      </c>
      <c r="AI133">
        <v>34751085</v>
      </c>
      <c r="AJ133">
        <v>131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ROW(Source!A50)</f>
        <v>50</v>
      </c>
      <c r="B134">
        <v>34751086</v>
      </c>
      <c r="C134">
        <v>34751084</v>
      </c>
      <c r="D134">
        <v>32159941</v>
      </c>
      <c r="E134">
        <v>1</v>
      </c>
      <c r="F134">
        <v>1</v>
      </c>
      <c r="G134">
        <v>1</v>
      </c>
      <c r="H134">
        <v>1</v>
      </c>
      <c r="I134" t="s">
        <v>356</v>
      </c>
      <c r="J134" t="s">
        <v>3</v>
      </c>
      <c r="K134" t="s">
        <v>357</v>
      </c>
      <c r="L134">
        <v>1191</v>
      </c>
      <c r="N134">
        <v>1013</v>
      </c>
      <c r="O134" t="s">
        <v>254</v>
      </c>
      <c r="P134" t="s">
        <v>254</v>
      </c>
      <c r="Q134">
        <v>1</v>
      </c>
      <c r="X134">
        <v>0.61499999999999999</v>
      </c>
      <c r="Y134">
        <v>0</v>
      </c>
      <c r="Z134">
        <v>0</v>
      </c>
      <c r="AA134">
        <v>0</v>
      </c>
      <c r="AB134">
        <v>16.93</v>
      </c>
      <c r="AC134">
        <v>0</v>
      </c>
      <c r="AD134">
        <v>1</v>
      </c>
      <c r="AE134">
        <v>1</v>
      </c>
      <c r="AF134" t="s">
        <v>3</v>
      </c>
      <c r="AG134">
        <v>0.61499999999999999</v>
      </c>
      <c r="AH134">
        <v>2</v>
      </c>
      <c r="AI134">
        <v>34751086</v>
      </c>
      <c r="AJ134">
        <v>132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ROW(Source!A50)</f>
        <v>50</v>
      </c>
      <c r="B135">
        <v>34751087</v>
      </c>
      <c r="C135">
        <v>34751084</v>
      </c>
      <c r="D135">
        <v>32000304</v>
      </c>
      <c r="E135">
        <v>1</v>
      </c>
      <c r="F135">
        <v>1</v>
      </c>
      <c r="G135">
        <v>1</v>
      </c>
      <c r="H135">
        <v>1</v>
      </c>
      <c r="I135" t="s">
        <v>358</v>
      </c>
      <c r="J135" t="s">
        <v>3</v>
      </c>
      <c r="K135" t="s">
        <v>359</v>
      </c>
      <c r="L135">
        <v>1191</v>
      </c>
      <c r="N135">
        <v>1013</v>
      </c>
      <c r="O135" t="s">
        <v>254</v>
      </c>
      <c r="P135" t="s">
        <v>254</v>
      </c>
      <c r="Q135">
        <v>1</v>
      </c>
      <c r="X135">
        <v>1.23</v>
      </c>
      <c r="Y135">
        <v>0</v>
      </c>
      <c r="Z135">
        <v>0</v>
      </c>
      <c r="AA135">
        <v>0</v>
      </c>
      <c r="AB135">
        <v>15.49</v>
      </c>
      <c r="AC135">
        <v>0</v>
      </c>
      <c r="AD135">
        <v>1</v>
      </c>
      <c r="AE135">
        <v>1</v>
      </c>
      <c r="AF135" t="s">
        <v>3</v>
      </c>
      <c r="AG135">
        <v>1.23</v>
      </c>
      <c r="AH135">
        <v>2</v>
      </c>
      <c r="AI135">
        <v>34751087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ROW(Source!A50)</f>
        <v>50</v>
      </c>
      <c r="B136">
        <v>34751088</v>
      </c>
      <c r="C136">
        <v>34751084</v>
      </c>
      <c r="D136">
        <v>32003081</v>
      </c>
      <c r="E136">
        <v>1</v>
      </c>
      <c r="F136">
        <v>1</v>
      </c>
      <c r="G136">
        <v>1</v>
      </c>
      <c r="H136">
        <v>1</v>
      </c>
      <c r="I136" t="s">
        <v>360</v>
      </c>
      <c r="J136" t="s">
        <v>3</v>
      </c>
      <c r="K136" t="s">
        <v>361</v>
      </c>
      <c r="L136">
        <v>1191</v>
      </c>
      <c r="N136">
        <v>1013</v>
      </c>
      <c r="O136" t="s">
        <v>254</v>
      </c>
      <c r="P136" t="s">
        <v>254</v>
      </c>
      <c r="Q136">
        <v>1</v>
      </c>
      <c r="X136">
        <v>2.7675000000000001</v>
      </c>
      <c r="Y136">
        <v>0</v>
      </c>
      <c r="Z136">
        <v>0</v>
      </c>
      <c r="AA136">
        <v>0</v>
      </c>
      <c r="AB136">
        <v>14.09</v>
      </c>
      <c r="AC136">
        <v>0</v>
      </c>
      <c r="AD136">
        <v>1</v>
      </c>
      <c r="AE136">
        <v>1</v>
      </c>
      <c r="AF136" t="s">
        <v>3</v>
      </c>
      <c r="AG136">
        <v>2.7675000000000001</v>
      </c>
      <c r="AH136">
        <v>2</v>
      </c>
      <c r="AI136">
        <v>34751088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ROW(Source!A50)</f>
        <v>50</v>
      </c>
      <c r="B137">
        <v>34751089</v>
      </c>
      <c r="C137">
        <v>34751084</v>
      </c>
      <c r="D137">
        <v>32159989</v>
      </c>
      <c r="E137">
        <v>1</v>
      </c>
      <c r="F137">
        <v>1</v>
      </c>
      <c r="G137">
        <v>1</v>
      </c>
      <c r="H137">
        <v>1</v>
      </c>
      <c r="I137" t="s">
        <v>362</v>
      </c>
      <c r="J137" t="s">
        <v>3</v>
      </c>
      <c r="K137" t="s">
        <v>363</v>
      </c>
      <c r="L137">
        <v>1191</v>
      </c>
      <c r="N137">
        <v>1013</v>
      </c>
      <c r="O137" t="s">
        <v>254</v>
      </c>
      <c r="P137" t="s">
        <v>254</v>
      </c>
      <c r="Q137">
        <v>1</v>
      </c>
      <c r="X137">
        <v>1.23</v>
      </c>
      <c r="Y137">
        <v>0</v>
      </c>
      <c r="Z137">
        <v>0</v>
      </c>
      <c r="AA137">
        <v>0</v>
      </c>
      <c r="AB137">
        <v>12.69</v>
      </c>
      <c r="AC137">
        <v>0</v>
      </c>
      <c r="AD137">
        <v>1</v>
      </c>
      <c r="AE137">
        <v>1</v>
      </c>
      <c r="AF137" t="s">
        <v>3</v>
      </c>
      <c r="AG137">
        <v>1.23</v>
      </c>
      <c r="AH137">
        <v>2</v>
      </c>
      <c r="AI137">
        <v>34751089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ROW(Source!A51)</f>
        <v>51</v>
      </c>
      <c r="B138">
        <v>34751085</v>
      </c>
      <c r="C138">
        <v>34751084</v>
      </c>
      <c r="D138">
        <v>32163921</v>
      </c>
      <c r="E138">
        <v>1</v>
      </c>
      <c r="F138">
        <v>1</v>
      </c>
      <c r="G138">
        <v>1</v>
      </c>
      <c r="H138">
        <v>1</v>
      </c>
      <c r="I138" t="s">
        <v>354</v>
      </c>
      <c r="J138" t="s">
        <v>3</v>
      </c>
      <c r="K138" t="s">
        <v>355</v>
      </c>
      <c r="L138">
        <v>1191</v>
      </c>
      <c r="N138">
        <v>1013</v>
      </c>
      <c r="O138" t="s">
        <v>254</v>
      </c>
      <c r="P138" t="s">
        <v>254</v>
      </c>
      <c r="Q138">
        <v>1</v>
      </c>
      <c r="X138">
        <v>0.3075</v>
      </c>
      <c r="Y138">
        <v>0</v>
      </c>
      <c r="Z138">
        <v>0</v>
      </c>
      <c r="AA138">
        <v>0</v>
      </c>
      <c r="AB138">
        <v>10.210000000000001</v>
      </c>
      <c r="AC138">
        <v>0</v>
      </c>
      <c r="AD138">
        <v>1</v>
      </c>
      <c r="AE138">
        <v>1</v>
      </c>
      <c r="AF138" t="s">
        <v>3</v>
      </c>
      <c r="AG138">
        <v>0.3075</v>
      </c>
      <c r="AH138">
        <v>2</v>
      </c>
      <c r="AI138">
        <v>34751085</v>
      </c>
      <c r="AJ138">
        <v>136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ROW(Source!A51)</f>
        <v>51</v>
      </c>
      <c r="B139">
        <v>34751086</v>
      </c>
      <c r="C139">
        <v>34751084</v>
      </c>
      <c r="D139">
        <v>32159941</v>
      </c>
      <c r="E139">
        <v>1</v>
      </c>
      <c r="F139">
        <v>1</v>
      </c>
      <c r="G139">
        <v>1</v>
      </c>
      <c r="H139">
        <v>1</v>
      </c>
      <c r="I139" t="s">
        <v>356</v>
      </c>
      <c r="J139" t="s">
        <v>3</v>
      </c>
      <c r="K139" t="s">
        <v>357</v>
      </c>
      <c r="L139">
        <v>1191</v>
      </c>
      <c r="N139">
        <v>1013</v>
      </c>
      <c r="O139" t="s">
        <v>254</v>
      </c>
      <c r="P139" t="s">
        <v>254</v>
      </c>
      <c r="Q139">
        <v>1</v>
      </c>
      <c r="X139">
        <v>0.61499999999999999</v>
      </c>
      <c r="Y139">
        <v>0</v>
      </c>
      <c r="Z139">
        <v>0</v>
      </c>
      <c r="AA139">
        <v>0</v>
      </c>
      <c r="AB139">
        <v>16.93</v>
      </c>
      <c r="AC139">
        <v>0</v>
      </c>
      <c r="AD139">
        <v>1</v>
      </c>
      <c r="AE139">
        <v>1</v>
      </c>
      <c r="AF139" t="s">
        <v>3</v>
      </c>
      <c r="AG139">
        <v>0.61499999999999999</v>
      </c>
      <c r="AH139">
        <v>2</v>
      </c>
      <c r="AI139">
        <v>34751086</v>
      </c>
      <c r="AJ139">
        <v>137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ROW(Source!A51)</f>
        <v>51</v>
      </c>
      <c r="B140">
        <v>34751087</v>
      </c>
      <c r="C140">
        <v>34751084</v>
      </c>
      <c r="D140">
        <v>32000304</v>
      </c>
      <c r="E140">
        <v>1</v>
      </c>
      <c r="F140">
        <v>1</v>
      </c>
      <c r="G140">
        <v>1</v>
      </c>
      <c r="H140">
        <v>1</v>
      </c>
      <c r="I140" t="s">
        <v>358</v>
      </c>
      <c r="J140" t="s">
        <v>3</v>
      </c>
      <c r="K140" t="s">
        <v>359</v>
      </c>
      <c r="L140">
        <v>1191</v>
      </c>
      <c r="N140">
        <v>1013</v>
      </c>
      <c r="O140" t="s">
        <v>254</v>
      </c>
      <c r="P140" t="s">
        <v>254</v>
      </c>
      <c r="Q140">
        <v>1</v>
      </c>
      <c r="X140">
        <v>1.23</v>
      </c>
      <c r="Y140">
        <v>0</v>
      </c>
      <c r="Z140">
        <v>0</v>
      </c>
      <c r="AA140">
        <v>0</v>
      </c>
      <c r="AB140">
        <v>15.49</v>
      </c>
      <c r="AC140">
        <v>0</v>
      </c>
      <c r="AD140">
        <v>1</v>
      </c>
      <c r="AE140">
        <v>1</v>
      </c>
      <c r="AF140" t="s">
        <v>3</v>
      </c>
      <c r="AG140">
        <v>1.23</v>
      </c>
      <c r="AH140">
        <v>2</v>
      </c>
      <c r="AI140">
        <v>34751087</v>
      </c>
      <c r="AJ140">
        <v>138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ROW(Source!A51)</f>
        <v>51</v>
      </c>
      <c r="B141">
        <v>34751088</v>
      </c>
      <c r="C141">
        <v>34751084</v>
      </c>
      <c r="D141">
        <v>32003081</v>
      </c>
      <c r="E141">
        <v>1</v>
      </c>
      <c r="F141">
        <v>1</v>
      </c>
      <c r="G141">
        <v>1</v>
      </c>
      <c r="H141">
        <v>1</v>
      </c>
      <c r="I141" t="s">
        <v>360</v>
      </c>
      <c r="J141" t="s">
        <v>3</v>
      </c>
      <c r="K141" t="s">
        <v>361</v>
      </c>
      <c r="L141">
        <v>1191</v>
      </c>
      <c r="N141">
        <v>1013</v>
      </c>
      <c r="O141" t="s">
        <v>254</v>
      </c>
      <c r="P141" t="s">
        <v>254</v>
      </c>
      <c r="Q141">
        <v>1</v>
      </c>
      <c r="X141">
        <v>2.7675000000000001</v>
      </c>
      <c r="Y141">
        <v>0</v>
      </c>
      <c r="Z141">
        <v>0</v>
      </c>
      <c r="AA141">
        <v>0</v>
      </c>
      <c r="AB141">
        <v>14.09</v>
      </c>
      <c r="AC141">
        <v>0</v>
      </c>
      <c r="AD141">
        <v>1</v>
      </c>
      <c r="AE141">
        <v>1</v>
      </c>
      <c r="AF141" t="s">
        <v>3</v>
      </c>
      <c r="AG141">
        <v>2.7675000000000001</v>
      </c>
      <c r="AH141">
        <v>2</v>
      </c>
      <c r="AI141">
        <v>34751088</v>
      </c>
      <c r="AJ141">
        <v>139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ROW(Source!A51)</f>
        <v>51</v>
      </c>
      <c r="B142">
        <v>34751089</v>
      </c>
      <c r="C142">
        <v>34751084</v>
      </c>
      <c r="D142">
        <v>32159989</v>
      </c>
      <c r="E142">
        <v>1</v>
      </c>
      <c r="F142">
        <v>1</v>
      </c>
      <c r="G142">
        <v>1</v>
      </c>
      <c r="H142">
        <v>1</v>
      </c>
      <c r="I142" t="s">
        <v>362</v>
      </c>
      <c r="J142" t="s">
        <v>3</v>
      </c>
      <c r="K142" t="s">
        <v>363</v>
      </c>
      <c r="L142">
        <v>1191</v>
      </c>
      <c r="N142">
        <v>1013</v>
      </c>
      <c r="O142" t="s">
        <v>254</v>
      </c>
      <c r="P142" t="s">
        <v>254</v>
      </c>
      <c r="Q142">
        <v>1</v>
      </c>
      <c r="X142">
        <v>1.23</v>
      </c>
      <c r="Y142">
        <v>0</v>
      </c>
      <c r="Z142">
        <v>0</v>
      </c>
      <c r="AA142">
        <v>0</v>
      </c>
      <c r="AB142">
        <v>12.69</v>
      </c>
      <c r="AC142">
        <v>0</v>
      </c>
      <c r="AD142">
        <v>1</v>
      </c>
      <c r="AE142">
        <v>1</v>
      </c>
      <c r="AF142" t="s">
        <v>3</v>
      </c>
      <c r="AG142">
        <v>1.23</v>
      </c>
      <c r="AH142">
        <v>2</v>
      </c>
      <c r="AI142">
        <v>34751089</v>
      </c>
      <c r="AJ142">
        <v>140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3.Оборудование</vt:lpstr>
      <vt:lpstr>2.Материалы</vt:lpstr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'2.Материалы'!Заголовки_для_печати</vt:lpstr>
      <vt:lpstr>'3.Оборудование'!Заголовки_для_печати</vt:lpstr>
      <vt:lpstr>'1.Лок.смета.и.Акт'!Область_печати</vt:lpstr>
      <vt:lpstr>'2.Материалы'!Область_печати</vt:lpstr>
      <vt:lpstr>'3.Оборудование'!Область_печати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2019-05-17T13:56:33Z</dcterms:created>
  <dcterms:modified xsi:type="dcterms:W3CDTF">2019-05-17T13:57:56Z</dcterms:modified>
</cp:coreProperties>
</file>