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15" windowWidth="13890" windowHeight="12510"/>
  </bookViews>
  <sheets>
    <sheet name="НВВ 2020" sheetId="3" r:id="rId1"/>
  </sheets>
  <externalReferences>
    <externalReference r:id="rId2"/>
  </externalReferences>
  <definedNames>
    <definedName name="_xlnm.Print_Area" localSheetId="0">'НВВ 2020'!$A$1:$B$39</definedName>
  </definedNames>
  <calcPr calcId="144525"/>
</workbook>
</file>

<file path=xl/calcChain.xml><?xml version="1.0" encoding="utf-8"?>
<calcChain xmlns="http://schemas.openxmlformats.org/spreadsheetml/2006/main">
  <c r="B25" i="3" l="1"/>
  <c r="B23" i="3" l="1"/>
  <c r="F12" i="3" l="1"/>
  <c r="F11" i="3"/>
  <c r="B8" i="3" l="1"/>
  <c r="B10" i="3"/>
  <c r="E20" i="3"/>
  <c r="E10" i="3"/>
  <c r="B11" i="3"/>
  <c r="B22" i="3"/>
  <c r="B21" i="3"/>
  <c r="B14" i="3"/>
  <c r="E19" i="3"/>
  <c r="B13" i="3" l="1"/>
  <c r="E12" i="3"/>
  <c r="E14" i="3" s="1"/>
  <c r="B16" i="3" l="1"/>
  <c r="B17" i="3"/>
  <c r="B18" i="3"/>
  <c r="B19" i="3"/>
  <c r="B38" i="3" l="1"/>
  <c r="C37" i="3" l="1"/>
  <c r="C36" i="3"/>
  <c r="C35" i="3"/>
  <c r="C34" i="3"/>
  <c r="C33" i="3"/>
  <c r="C32" i="3"/>
  <c r="C31" i="3"/>
  <c r="D29" i="3"/>
  <c r="C29" i="3"/>
  <c r="D28" i="3"/>
  <c r="C28" i="3"/>
  <c r="D27" i="3"/>
  <c r="C27" i="3"/>
  <c r="D26" i="3"/>
  <c r="C26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C13" i="3"/>
  <c r="D12" i="3"/>
  <c r="C12" i="3"/>
  <c r="C7" i="3"/>
  <c r="C5" i="3"/>
  <c r="C10" i="3" l="1"/>
  <c r="D13" i="3"/>
  <c r="D11" i="3"/>
  <c r="C11" i="3"/>
  <c r="D10" i="3" l="1"/>
  <c r="B30" i="3"/>
  <c r="B39" i="3" s="1"/>
  <c r="F14" i="3"/>
  <c r="D30" i="3" l="1"/>
  <c r="C30" i="3"/>
  <c r="F13" i="3"/>
</calcChain>
</file>

<file path=xl/sharedStrings.xml><?xml version="1.0" encoding="utf-8"?>
<sst xmlns="http://schemas.openxmlformats.org/spreadsheetml/2006/main" count="43" uniqueCount="43">
  <si>
    <t>тыс. руб.</t>
  </si>
  <si>
    <t>Статья затрат</t>
  </si>
  <si>
    <t>Темп роста
2018/2017</t>
  </si>
  <si>
    <t>Относительное отклонение
2018/2017</t>
  </si>
  <si>
    <t>НВВ на содержание сетей</t>
  </si>
  <si>
    <t>Подконтрольный расходы</t>
  </si>
  <si>
    <t xml:space="preserve">Условные единицы (у.е) </t>
  </si>
  <si>
    <t>Коэффициент корректировки подконтрольных расходов</t>
  </si>
  <si>
    <t>Неподконтрольные расходы</t>
  </si>
  <si>
    <t>Амортизация</t>
  </si>
  <si>
    <t>Прибыль на капитальные вложения</t>
  </si>
  <si>
    <t>Страховые взносы</t>
  </si>
  <si>
    <t>Аренда имущества</t>
  </si>
  <si>
    <t>Налог на имущество</t>
  </si>
  <si>
    <t>Налог на землю</t>
  </si>
  <si>
    <t>Транспортный налог</t>
  </si>
  <si>
    <t>Налог на прибыль</t>
  </si>
  <si>
    <t>Страхование (обязательное)</t>
  </si>
  <si>
    <t>Корректировка с учетом изменения ПО и цен на эл.энергию</t>
  </si>
  <si>
    <t>Корректировка с учетом надежности и качества</t>
  </si>
  <si>
    <t>Анализ хоз. деятельности за 2014 год</t>
  </si>
  <si>
    <t>Доп.доходы, возникшие у ТСО вследствии взыскания стоимости выявленного бездоговорного потребления</t>
  </si>
  <si>
    <t>ИТОГО НВВ</t>
  </si>
  <si>
    <t>индекс эффективности подконтр.расходов</t>
  </si>
  <si>
    <t>коэффициент эластичности подконтрольных расходов по количеству активов</t>
  </si>
  <si>
    <t>НВВ потери ожид.</t>
  </si>
  <si>
    <t>Выручка</t>
  </si>
  <si>
    <t>Себестоимость</t>
  </si>
  <si>
    <t>баланс.прибыль</t>
  </si>
  <si>
    <t>чистая прибыль</t>
  </si>
  <si>
    <t>Коммунальные расходы (вода, газ, тепло)</t>
  </si>
  <si>
    <t>Оплата потерь</t>
  </si>
  <si>
    <t>ИТОГО НВВ с оплатой потерь</t>
  </si>
  <si>
    <t>НВВ для определения велечины прибыли на кап.вложения:</t>
  </si>
  <si>
    <t xml:space="preserve">Подконтрольные расходы </t>
  </si>
  <si>
    <t>Плата за негативное воздействие на окружающую среду</t>
  </si>
  <si>
    <t>При расчете НВВ на 2019 год расчет подконтрольных расходов произведен с учетом формулы №2 МУ "Об утверждении методических указаний по расчету тарифов на услуги по передаче электрической энергии, устанавливаемых с применением метода долгосрочной индексации необходимой валовой выручки" утвержденных приказом ФСТ №98-э от 17.02.2012г.
Коэффициент корректировки подконтрольных расходов с учетом изменения условных единиц (прирост - 420 УЕ) составил 0,986. С учетом среднегодового индекса дефлятора в размере 4 %  подконтрольные расходы составили 276 755,24 тыс.руб., что на 6 915,23 тыс. руб.выше утвержденных расходов                                                       на 2018 г. или на 3 %.</t>
  </si>
  <si>
    <t>ИПЦ, определенный в соответствиии с Прогнозом показателей инфляции и системы цен до 2036 г.</t>
  </si>
  <si>
    <t xml:space="preserve">Выпадающие доходы от льготного техприсоединения </t>
  </si>
  <si>
    <t>Недополученный доход от падения полезного отпуска</t>
  </si>
  <si>
    <t>Корректировка необходимой валовой выручки</t>
  </si>
  <si>
    <t>НВВ в разрезе подконтрольных, неподконтрольных расходов                              АО «Орелоблэнерго» на 2020 год</t>
  </si>
  <si>
    <t>Предложения                                                    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</si>
</sst>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0.0%"/>
    <numFmt numFmtId="167" formatCode="_-* #,##0.000_р_._-;\-* #,##0.000_р_._-;_-* &quot;-&quot;??_р_._-;_-@_-"/>
    <numFmt numFmtId="168" formatCode="0.0000%"/>
    <numFmt numFmtId="169" formatCode="_-* #,##0.0000000000_р_._-;\-* #,##0.0000000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</cellStyleXfs>
  <cellXfs count="53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10" fontId="6" fillId="2" borderId="1" xfId="2" applyNumberFormat="1" applyFont="1" applyFill="1" applyBorder="1"/>
    <xf numFmtId="0" fontId="6" fillId="2" borderId="1" xfId="0" applyFont="1" applyFill="1" applyBorder="1"/>
    <xf numFmtId="43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43" fontId="7" fillId="2" borderId="1" xfId="0" applyNumberFormat="1" applyFont="1" applyFill="1" applyBorder="1" applyAlignment="1">
      <alignment vertical="center"/>
    </xf>
    <xf numFmtId="164" fontId="0" fillId="0" borderId="0" xfId="0" applyNumberFormat="1"/>
    <xf numFmtId="165" fontId="7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10" fontId="7" fillId="2" borderId="1" xfId="2" applyNumberFormat="1" applyFont="1" applyFill="1" applyBorder="1"/>
    <xf numFmtId="43" fontId="6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 vertical="center"/>
    </xf>
    <xf numFmtId="43" fontId="0" fillId="0" borderId="0" xfId="0" applyNumberFormat="1"/>
    <xf numFmtId="43" fontId="7" fillId="2" borderId="0" xfId="1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164" fontId="0" fillId="3" borderId="0" xfId="0" applyNumberFormat="1" applyFill="1"/>
    <xf numFmtId="0" fontId="9" fillId="0" borderId="0" xfId="0" applyFont="1"/>
    <xf numFmtId="0" fontId="10" fillId="0" borderId="0" xfId="0" applyFont="1"/>
    <xf numFmtId="0" fontId="9" fillId="0" borderId="0" xfId="0" applyFont="1" applyFill="1" applyBorder="1"/>
    <xf numFmtId="43" fontId="8" fillId="0" borderId="0" xfId="0" applyNumberFormat="1" applyFont="1"/>
    <xf numFmtId="43" fontId="10" fillId="0" borderId="0" xfId="0" applyNumberFormat="1" applyFont="1" applyAlignment="1">
      <alignment horizontal="right"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43" fontId="6" fillId="2" borderId="0" xfId="0" applyNumberFormat="1" applyFont="1" applyFill="1" applyBorder="1"/>
    <xf numFmtId="167" fontId="7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169" fontId="6" fillId="2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3" fontId="7" fillId="2" borderId="1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166" fontId="7" fillId="2" borderId="1" xfId="1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vertical="center"/>
    </xf>
    <xf numFmtId="43" fontId="13" fillId="0" borderId="0" xfId="1" applyFont="1"/>
    <xf numFmtId="43" fontId="13" fillId="0" borderId="0" xfId="0" applyNumberFormat="1" applyFont="1"/>
  </cellXfs>
  <cellStyles count="5">
    <cellStyle name="Обычный" xfId="0" builtinId="0"/>
    <cellStyle name="Обычный 3" xfId="3"/>
    <cellStyle name="Обычный 6" xfId="4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40</xdr:row>
      <xdr:rowOff>981075</xdr:rowOff>
    </xdr:from>
    <xdr:to>
      <xdr:col>1</xdr:col>
      <xdr:colOff>714375</xdr:colOff>
      <xdr:row>40</xdr:row>
      <xdr:rowOff>1314450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381875"/>
          <a:ext cx="4410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4;&#1056;&#1052;&#1048;&#1056;&#1054;&#1042;&#1040;&#1053;&#1048;&#1045;%20&#1045;&#1046;&#1045;&#1050;&#1042;&#1040;&#1056;&#1058;&#1040;&#1051;&#1068;&#1053;&#1067;&#1061;%20&#1047;&#1040;&#1058;&#1056;&#1040;&#1058;%20&#1044;&#1051;&#1071;%20&#1059;&#1058;/2018/&#1060;&#1040;&#1050;&#1058;%202018/&#1057;&#1084;&#1077;&#1090;&#1072;%20&#1079;&#1072;&#1090;&#1088;&#1072;&#1090;%20&#1040;&#1054;%20&#1054;&#1088;&#1077;&#1083;&#1086;&#1073;&#1083;&#1101;&#1085;&#1077;&#1088;&#1075;&#1086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смета за 1 квартал 2018г."/>
      <sheetName val="Факт.смета за 1 кв.2018 для УТ"/>
      <sheetName val="11 Прочие"/>
      <sheetName val="Факт.смета за 1 полугодие 2018г"/>
      <sheetName val="Смета за 1 полугод.2018 для УТ"/>
      <sheetName val="11 Прочие-полугодие"/>
      <sheetName val="11 Прочие 9 мес.2018"/>
      <sheetName val="Факт.смета за 9 мес. 2018"/>
      <sheetName val="Смета за 9 мес. 2018 для УТ"/>
      <sheetName val="Факт.смета за 2018"/>
      <sheetName val="11 Прочие 2018"/>
      <sheetName val="8 Инвестиции-свод"/>
      <sheetName val="Смета за 2018 для У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6">
          <cell r="F66">
            <v>28776.121480000002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1"/>
  <sheetViews>
    <sheetView tabSelected="1" view="pageBreakPreview" zoomScale="110" zoomScaleNormal="100" zoomScaleSheetLayoutView="110" workbookViewId="0">
      <selection activeCell="K12" sqref="K12"/>
    </sheetView>
  </sheetViews>
  <sheetFormatPr defaultRowHeight="15" x14ac:dyDescent="0.25"/>
  <cols>
    <col min="1" max="1" width="59" customWidth="1"/>
    <col min="2" max="2" width="17.5703125" customWidth="1"/>
    <col min="3" max="3" width="12.140625" hidden="1" customWidth="1"/>
    <col min="4" max="4" width="16.140625" hidden="1" customWidth="1"/>
    <col min="5" max="5" width="30.28515625" hidden="1" customWidth="1"/>
    <col min="6" max="6" width="22.28515625" hidden="1" customWidth="1"/>
    <col min="7" max="7" width="14.85546875" hidden="1" customWidth="1"/>
    <col min="8" max="8" width="11.42578125" hidden="1" customWidth="1"/>
    <col min="10" max="10" width="15.28515625" customWidth="1"/>
  </cols>
  <sheetData>
    <row r="1" spans="1:10" ht="40.5" customHeight="1" x14ac:dyDescent="0.25">
      <c r="A1" s="43" t="s">
        <v>41</v>
      </c>
      <c r="B1" s="43"/>
      <c r="C1" s="43"/>
      <c r="D1" s="43"/>
      <c r="E1" s="41"/>
    </row>
    <row r="3" spans="1:10" ht="15.75" x14ac:dyDescent="0.25">
      <c r="A3" s="1"/>
      <c r="B3" s="2" t="s">
        <v>0</v>
      </c>
      <c r="C3" s="2"/>
    </row>
    <row r="4" spans="1:10" s="40" customFormat="1" ht="47.25" x14ac:dyDescent="0.25">
      <c r="A4" s="39" t="s">
        <v>1</v>
      </c>
      <c r="B4" s="4" t="s">
        <v>42</v>
      </c>
      <c r="C4" s="5" t="s">
        <v>2</v>
      </c>
      <c r="D4" s="5" t="s">
        <v>3</v>
      </c>
      <c r="E4" s="35"/>
    </row>
    <row r="5" spans="1:10" ht="15.75" hidden="1" x14ac:dyDescent="0.25">
      <c r="A5" s="3" t="s">
        <v>4</v>
      </c>
      <c r="B5" s="6"/>
      <c r="C5" s="7" t="e">
        <f>#REF!/#REF!</f>
        <v>#REF!</v>
      </c>
      <c r="D5" s="8"/>
      <c r="E5" s="36"/>
    </row>
    <row r="6" spans="1:10" ht="15.75" hidden="1" x14ac:dyDescent="0.25">
      <c r="A6" s="3" t="s">
        <v>5</v>
      </c>
      <c r="B6" s="9"/>
      <c r="C6" s="10"/>
      <c r="D6" s="8"/>
      <c r="E6" s="36"/>
    </row>
    <row r="7" spans="1:10" ht="15.75" x14ac:dyDescent="0.25">
      <c r="A7" s="11" t="s">
        <v>6</v>
      </c>
      <c r="B7" s="9">
        <v>28057.81</v>
      </c>
      <c r="C7" s="12" t="e">
        <f>B7-#REF!</f>
        <v>#REF!</v>
      </c>
      <c r="D7" s="8"/>
      <c r="E7" s="36"/>
      <c r="F7" s="13"/>
    </row>
    <row r="8" spans="1:10" ht="23.25" customHeight="1" x14ac:dyDescent="0.25">
      <c r="A8" s="11" t="s">
        <v>7</v>
      </c>
      <c r="B8" s="14">
        <f>(1-(2.5/100))*(1+0.75*((B7-27655.2)/27655.2))</f>
        <v>0.98564568553111165</v>
      </c>
      <c r="C8" s="10"/>
      <c r="D8" s="8"/>
      <c r="E8" s="36"/>
    </row>
    <row r="9" spans="1:10" ht="31.5" x14ac:dyDescent="0.25">
      <c r="A9" s="11" t="s">
        <v>37</v>
      </c>
      <c r="B9" s="14">
        <v>1.046</v>
      </c>
      <c r="C9" s="10"/>
      <c r="D9" s="8"/>
      <c r="E9" s="36">
        <v>1.0309853870655401</v>
      </c>
      <c r="F9" s="46" t="s">
        <v>33</v>
      </c>
    </row>
    <row r="10" spans="1:10" ht="15.75" x14ac:dyDescent="0.25">
      <c r="A10" s="15" t="s">
        <v>34</v>
      </c>
      <c r="B10" s="16">
        <f>276580.34*B8*B9</f>
        <v>285150.28888961946</v>
      </c>
      <c r="C10" s="17" t="e">
        <f>B10/#REF!</f>
        <v>#REF!</v>
      </c>
      <c r="D10" s="18" t="e">
        <f>B10-#REF!</f>
        <v>#REF!</v>
      </c>
      <c r="E10" s="42">
        <f>B10/276580.34</f>
        <v>1.0309853870655428</v>
      </c>
      <c r="F10" s="46"/>
    </row>
    <row r="11" spans="1:10" ht="15.75" x14ac:dyDescent="0.25">
      <c r="A11" s="15" t="s">
        <v>8</v>
      </c>
      <c r="B11" s="16">
        <f>SUM(B12:B22)</f>
        <v>327716.31552778208</v>
      </c>
      <c r="C11" s="17" t="e">
        <f>B11/#REF!</f>
        <v>#REF!</v>
      </c>
      <c r="D11" s="18" t="e">
        <f>B11-#REF!</f>
        <v>#REF!</v>
      </c>
      <c r="E11" s="37">
        <v>1.0306200248958599</v>
      </c>
      <c r="F11" s="32">
        <f>B10+B11-B13</f>
        <v>565798.49441740161</v>
      </c>
    </row>
    <row r="12" spans="1:10" ht="15.75" x14ac:dyDescent="0.25">
      <c r="A12" s="19" t="s">
        <v>9</v>
      </c>
      <c r="B12" s="20">
        <v>160108</v>
      </c>
      <c r="C12" s="17" t="e">
        <f>B12/#REF!</f>
        <v>#REF!</v>
      </c>
      <c r="D12" s="18" t="e">
        <f>B12-#REF!</f>
        <v>#REF!</v>
      </c>
      <c r="E12" s="44">
        <f>B12+B13</f>
        <v>207176.11</v>
      </c>
      <c r="F12" s="31">
        <f>F11*G12</f>
        <v>67895.819330088198</v>
      </c>
      <c r="G12" s="33">
        <v>0.12</v>
      </c>
    </row>
    <row r="13" spans="1:10" ht="15.75" x14ac:dyDescent="0.25">
      <c r="A13" s="19" t="s">
        <v>10</v>
      </c>
      <c r="B13" s="38">
        <f>66579.37-19511.26</f>
        <v>47068.11</v>
      </c>
      <c r="C13" s="17" t="e">
        <f>B13/#REF!</f>
        <v>#REF!</v>
      </c>
      <c r="D13" s="18" t="e">
        <f>B13-#REF!</f>
        <v>#REF!</v>
      </c>
      <c r="E13" s="44"/>
      <c r="F13" s="31">
        <f>F11*G13</f>
        <v>62237.834385914175</v>
      </c>
      <c r="G13" s="33">
        <v>0.11</v>
      </c>
      <c r="J13" s="22"/>
    </row>
    <row r="14" spans="1:10" ht="15.75" x14ac:dyDescent="0.25">
      <c r="A14" s="11" t="s">
        <v>11</v>
      </c>
      <c r="B14" s="47">
        <f>212218.67*1.04*30.4%</f>
        <v>67095.054707200004</v>
      </c>
      <c r="C14" s="17"/>
      <c r="D14" s="18"/>
      <c r="E14" s="37">
        <f>E12-207176.109</f>
        <v>9.9999998928979039E-4</v>
      </c>
      <c r="F14" s="31">
        <f>F11*G14</f>
        <v>65996.351869875376</v>
      </c>
      <c r="G14" s="34">
        <v>0.116642855223274</v>
      </c>
      <c r="H14" s="21"/>
      <c r="J14" s="22"/>
    </row>
    <row r="15" spans="1:10" ht="15.75" x14ac:dyDescent="0.25">
      <c r="A15" s="19" t="s">
        <v>12</v>
      </c>
      <c r="B15" s="20">
        <v>4945.2450099999996</v>
      </c>
      <c r="C15" s="17" t="e">
        <f>B15/#REF!</f>
        <v>#REF!</v>
      </c>
      <c r="D15" s="18" t="e">
        <f>B15-#REF!</f>
        <v>#REF!</v>
      </c>
      <c r="E15" s="37"/>
      <c r="F15" s="31"/>
      <c r="J15" s="22"/>
    </row>
    <row r="16" spans="1:10" ht="15.75" x14ac:dyDescent="0.25">
      <c r="A16" s="19" t="s">
        <v>13</v>
      </c>
      <c r="B16" s="20">
        <f>(3150.272*4)*87.13%</f>
        <v>10979.327974399999</v>
      </c>
      <c r="C16" s="17" t="e">
        <f>B16/#REF!</f>
        <v>#REF!</v>
      </c>
      <c r="D16" s="18" t="e">
        <f>B16-#REF!</f>
        <v>#REF!</v>
      </c>
      <c r="E16" s="37"/>
      <c r="F16" s="31"/>
    </row>
    <row r="17" spans="1:7" ht="15.75" x14ac:dyDescent="0.25">
      <c r="A17" s="19" t="s">
        <v>14</v>
      </c>
      <c r="B17" s="23">
        <f>2149.3571*87.12%</f>
        <v>1872.5199055200003</v>
      </c>
      <c r="C17" s="17" t="e">
        <f>B17/#REF!</f>
        <v>#REF!</v>
      </c>
      <c r="D17" s="18" t="e">
        <f>B17-#REF!</f>
        <v>#REF!</v>
      </c>
      <c r="E17" s="37">
        <v>2149.3571000000002</v>
      </c>
    </row>
    <row r="18" spans="1:7" ht="15.75" x14ac:dyDescent="0.25">
      <c r="A18" s="19" t="s">
        <v>15</v>
      </c>
      <c r="B18" s="23">
        <f>943.104*87.11%</f>
        <v>821.53789440000003</v>
      </c>
      <c r="C18" s="17" t="e">
        <f>B18/#REF!</f>
        <v>#REF!</v>
      </c>
      <c r="D18" s="18" t="e">
        <f>B18-#REF!</f>
        <v>#REF!</v>
      </c>
      <c r="E18" s="37"/>
    </row>
    <row r="19" spans="1:7" ht="15.75" x14ac:dyDescent="0.25">
      <c r="A19" s="24" t="s">
        <v>35</v>
      </c>
      <c r="B19" s="23">
        <f>0.04351</f>
        <v>4.351E-2</v>
      </c>
      <c r="C19" s="17" t="e">
        <f>B19/#REF!</f>
        <v>#REF!</v>
      </c>
      <c r="D19" s="18" t="e">
        <f>B19-#REF!</f>
        <v>#REF!</v>
      </c>
      <c r="E19" s="37">
        <f>212218.67*1.04</f>
        <v>220707.41680000001</v>
      </c>
    </row>
    <row r="20" spans="1:7" ht="15.75" x14ac:dyDescent="0.25">
      <c r="A20" s="25" t="s">
        <v>16</v>
      </c>
      <c r="B20" s="23">
        <v>30635.732</v>
      </c>
      <c r="C20" s="17" t="e">
        <f>B20/#REF!</f>
        <v>#REF!</v>
      </c>
      <c r="D20" s="18" t="e">
        <f>B20-#REF!</f>
        <v>#REF!</v>
      </c>
      <c r="E20" s="37">
        <f>E19*30.4%</f>
        <v>67095.054707200004</v>
      </c>
    </row>
    <row r="21" spans="1:7" ht="15.75" x14ac:dyDescent="0.25">
      <c r="A21" s="8" t="s">
        <v>17</v>
      </c>
      <c r="B21" s="9">
        <f>876.75*88.31%</f>
        <v>774.257925</v>
      </c>
      <c r="C21" s="17" t="e">
        <f>B21/#REF!</f>
        <v>#REF!</v>
      </c>
      <c r="D21" s="18" t="e">
        <f>B21-#REF!</f>
        <v>#REF!</v>
      </c>
      <c r="E21" s="37"/>
    </row>
    <row r="22" spans="1:7" ht="15.75" x14ac:dyDescent="0.25">
      <c r="A22" s="25" t="s">
        <v>30</v>
      </c>
      <c r="B22" s="9">
        <f>3691.90253*92.54%</f>
        <v>3416.4866012620005</v>
      </c>
      <c r="C22" s="17" t="e">
        <f>B22/#REF!</f>
        <v>#REF!</v>
      </c>
      <c r="D22" s="18" t="e">
        <f>B22-#REF!</f>
        <v>#REF!</v>
      </c>
      <c r="E22" s="37"/>
    </row>
    <row r="23" spans="1:7" ht="15.75" x14ac:dyDescent="0.25">
      <c r="A23" s="8" t="s">
        <v>38</v>
      </c>
      <c r="B23" s="9">
        <f>'[1]Смета за 2018 для УТ'!$F$66</f>
        <v>28776.121480000002</v>
      </c>
      <c r="C23" s="17"/>
      <c r="D23" s="18"/>
      <c r="E23" s="37"/>
    </row>
    <row r="24" spans="1:7" ht="15.75" x14ac:dyDescent="0.25">
      <c r="A24" s="8" t="s">
        <v>39</v>
      </c>
      <c r="B24" s="9">
        <v>33427.14776</v>
      </c>
      <c r="C24" s="17"/>
      <c r="D24" s="18"/>
      <c r="E24" s="37"/>
      <c r="F24" s="27"/>
      <c r="G24" s="13"/>
    </row>
    <row r="25" spans="1:7" ht="15.75" x14ac:dyDescent="0.25">
      <c r="A25" s="8" t="s">
        <v>40</v>
      </c>
      <c r="B25" s="9">
        <f>-24499.25</f>
        <v>-24499.25</v>
      </c>
      <c r="C25" s="17"/>
      <c r="D25" s="18"/>
      <c r="E25" s="37"/>
      <c r="F25" s="27"/>
      <c r="G25" s="13"/>
    </row>
    <row r="26" spans="1:7" ht="15.75" hidden="1" x14ac:dyDescent="0.25">
      <c r="A26" s="8" t="s">
        <v>18</v>
      </c>
      <c r="B26" s="9"/>
      <c r="C26" s="17" t="e">
        <f>B26/#REF!</f>
        <v>#REF!</v>
      </c>
      <c r="D26" s="18" t="e">
        <f>B26-#REF!</f>
        <v>#REF!</v>
      </c>
      <c r="E26" s="37"/>
    </row>
    <row r="27" spans="1:7" ht="15.75" hidden="1" x14ac:dyDescent="0.25">
      <c r="A27" s="8" t="s">
        <v>19</v>
      </c>
      <c r="B27" s="9"/>
      <c r="C27" s="17" t="e">
        <f>B27/#REF!</f>
        <v>#REF!</v>
      </c>
      <c r="D27" s="18" t="e">
        <f>B27-#REF!</f>
        <v>#REF!</v>
      </c>
      <c r="E27" s="37"/>
    </row>
    <row r="28" spans="1:7" ht="15.75" hidden="1" x14ac:dyDescent="0.25">
      <c r="A28" s="8" t="s">
        <v>20</v>
      </c>
      <c r="B28" s="9"/>
      <c r="C28" s="17" t="e">
        <f>B28/#REF!</f>
        <v>#REF!</v>
      </c>
      <c r="D28" s="18" t="e">
        <f>B28-#REF!</f>
        <v>#REF!</v>
      </c>
      <c r="E28" s="37"/>
    </row>
    <row r="29" spans="1:7" ht="31.5" hidden="1" x14ac:dyDescent="0.25">
      <c r="A29" s="24" t="s">
        <v>21</v>
      </c>
      <c r="B29" s="48"/>
      <c r="C29" s="17" t="e">
        <f>B29/#REF!</f>
        <v>#REF!</v>
      </c>
      <c r="D29" s="18" t="e">
        <f>B29-#REF!</f>
        <v>#REF!</v>
      </c>
      <c r="E29" s="37"/>
    </row>
    <row r="30" spans="1:7" ht="15.75" x14ac:dyDescent="0.25">
      <c r="A30" s="26" t="s">
        <v>22</v>
      </c>
      <c r="B30" s="16">
        <f>B11+B10+B23+B24+B25</f>
        <v>650570.62365740153</v>
      </c>
      <c r="C30" s="17" t="e">
        <f>B30/#REF!</f>
        <v>#REF!</v>
      </c>
      <c r="D30" s="18" t="e">
        <f>B30-#REF!</f>
        <v>#REF!</v>
      </c>
      <c r="E30" s="37"/>
    </row>
    <row r="31" spans="1:7" ht="15.75" hidden="1" x14ac:dyDescent="0.25">
      <c r="A31" s="24" t="s">
        <v>23</v>
      </c>
      <c r="B31" s="49"/>
      <c r="C31" s="17" t="e">
        <f>B31/#REF!</f>
        <v>#REF!</v>
      </c>
      <c r="D31" s="8"/>
      <c r="E31" s="36"/>
    </row>
    <row r="32" spans="1:7" ht="31.5" hidden="1" x14ac:dyDescent="0.25">
      <c r="A32" s="24" t="s">
        <v>24</v>
      </c>
      <c r="B32" s="50"/>
      <c r="C32" s="17" t="e">
        <f>B32/#REF!</f>
        <v>#REF!</v>
      </c>
      <c r="D32" s="8"/>
      <c r="E32" s="36"/>
    </row>
    <row r="33" spans="1:5" ht="15.75" hidden="1" x14ac:dyDescent="0.25">
      <c r="B33" s="51"/>
      <c r="C33" s="17" t="e">
        <f>B33/#REF!</f>
        <v>#REF!</v>
      </c>
      <c r="D33" s="28" t="s">
        <v>25</v>
      </c>
      <c r="E33" s="28"/>
    </row>
    <row r="34" spans="1:5" ht="15.75" hidden="1" x14ac:dyDescent="0.25">
      <c r="B34" s="52"/>
      <c r="C34" s="17" t="e">
        <f>B34/#REF!</f>
        <v>#REF!</v>
      </c>
      <c r="D34" s="28" t="s">
        <v>26</v>
      </c>
      <c r="E34" s="28"/>
    </row>
    <row r="35" spans="1:5" ht="15.75" hidden="1" x14ac:dyDescent="0.25">
      <c r="B35" s="52"/>
      <c r="C35" s="17" t="e">
        <f>B35/#REF!</f>
        <v>#REF!</v>
      </c>
      <c r="D35" s="28" t="s">
        <v>27</v>
      </c>
      <c r="E35" s="28"/>
    </row>
    <row r="36" spans="1:5" ht="15.75" hidden="1" x14ac:dyDescent="0.25">
      <c r="B36" s="52"/>
      <c r="C36" s="17" t="e">
        <f>B36/#REF!</f>
        <v>#REF!</v>
      </c>
      <c r="D36" s="30" t="s">
        <v>28</v>
      </c>
      <c r="E36" s="30"/>
    </row>
    <row r="37" spans="1:5" ht="15.75" hidden="1" x14ac:dyDescent="0.25">
      <c r="B37" s="52"/>
      <c r="C37" s="17" t="e">
        <f>B37/#REF!</f>
        <v>#REF!</v>
      </c>
      <c r="D37" s="30" t="s">
        <v>29</v>
      </c>
      <c r="E37" s="30"/>
    </row>
    <row r="38" spans="1:5" ht="15.75" x14ac:dyDescent="0.25">
      <c r="A38" s="8" t="s">
        <v>31</v>
      </c>
      <c r="B38" s="9">
        <f>290309.93*1.034</f>
        <v>300180.46762000001</v>
      </c>
      <c r="D38" s="30"/>
      <c r="E38" s="30"/>
    </row>
    <row r="39" spans="1:5" ht="15.75" x14ac:dyDescent="0.25">
      <c r="A39" s="26" t="s">
        <v>32</v>
      </c>
      <c r="B39" s="16">
        <f>B30+B38</f>
        <v>950751.09127740155</v>
      </c>
      <c r="C39" s="21"/>
      <c r="D39" s="30"/>
      <c r="E39" s="30"/>
    </row>
    <row r="40" spans="1:5" hidden="1" x14ac:dyDescent="0.25">
      <c r="A40" s="29"/>
      <c r="B40" s="29"/>
    </row>
    <row r="41" spans="1:5" ht="192.75" hidden="1" customHeight="1" x14ac:dyDescent="0.25">
      <c r="A41" s="45" t="s">
        <v>36</v>
      </c>
      <c r="B41" s="45"/>
    </row>
  </sheetData>
  <sheetProtection password="CC09" sheet="1" objects="1" scenarios="1" selectLockedCells="1" selectUnlockedCells="1"/>
  <mergeCells count="4">
    <mergeCell ref="A1:D1"/>
    <mergeCell ref="F9:F10"/>
    <mergeCell ref="E12:E13"/>
    <mergeCell ref="A41:B41"/>
  </mergeCells>
  <pageMargins left="1.1417322834645669" right="0.15748031496062992" top="0.74803149606299213" bottom="0.74803149606299213" header="0.31496062992125984" footer="0.31496062992125984"/>
  <pageSetup paperSize="9" scale="95" orientation="portrait" cellComments="asDisplayed" r:id="rId1"/>
  <rowBreaks count="1" manualBreakCount="1">
    <brk id="39" max="3" man="1"/>
  </rowBreaks>
  <colBreaks count="1" manualBreakCount="1">
    <brk id="5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2020</vt:lpstr>
      <vt:lpstr>'НВВ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 PEO</dc:creator>
  <cp:lastModifiedBy>Zam PEO</cp:lastModifiedBy>
  <cp:lastPrinted>2019-04-19T09:03:17Z</cp:lastPrinted>
  <dcterms:created xsi:type="dcterms:W3CDTF">2018-04-23T07:30:20Z</dcterms:created>
  <dcterms:modified xsi:type="dcterms:W3CDTF">2019-04-19T12:23:31Z</dcterms:modified>
</cp:coreProperties>
</file>