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'1.Смета.или.Акт'!$A$1:$K$124</definedName>
  </definedNames>
  <calcPr calcId="144525"/>
</workbook>
</file>

<file path=xl/calcChain.xml><?xml version="1.0" encoding="utf-8"?>
<calcChain xmlns="http://schemas.openxmlformats.org/spreadsheetml/2006/main">
  <c r="BZ120" i="6" l="1"/>
  <c r="BY120" i="6"/>
  <c r="BZ117" i="6"/>
  <c r="BY117" i="6"/>
  <c r="BZ111" i="6"/>
  <c r="BY111" i="6"/>
  <c r="BZ108" i="6"/>
  <c r="BY108" i="6"/>
  <c r="H99" i="6"/>
  <c r="H90" i="6"/>
  <c r="FV85" i="6"/>
  <c r="FU85" i="6"/>
  <c r="FT85" i="6"/>
  <c r="FS85" i="6"/>
  <c r="FP85" i="6"/>
  <c r="FH85" i="6"/>
  <c r="FG85" i="6"/>
  <c r="FF85" i="6"/>
  <c r="FD85" i="6"/>
  <c r="FA85" i="6"/>
  <c r="EY85" i="6"/>
  <c r="EX85" i="6"/>
  <c r="DY85" i="6"/>
  <c r="DX85" i="6"/>
  <c r="DD85" i="6"/>
  <c r="AC85" i="6"/>
  <c r="EW51" i="1"/>
  <c r="AQ51" i="1"/>
  <c r="BA51" i="1"/>
  <c r="EV51" i="1"/>
  <c r="ER51" i="1" s="1"/>
  <c r="AO51" i="1"/>
  <c r="AK51" i="1"/>
  <c r="F79" i="6" s="1"/>
  <c r="I51" i="1"/>
  <c r="I50" i="1"/>
  <c r="DW51" i="1"/>
  <c r="EW47" i="1"/>
  <c r="AQ47" i="1"/>
  <c r="BA47" i="1"/>
  <c r="EV47" i="1"/>
  <c r="ER47" i="1" s="1"/>
  <c r="AO47" i="1"/>
  <c r="AK47" i="1" s="1"/>
  <c r="F73" i="6" s="1"/>
  <c r="I47" i="1"/>
  <c r="I46" i="1"/>
  <c r="DW47" i="1"/>
  <c r="BC41" i="1"/>
  <c r="ES41" i="1"/>
  <c r="AL41" i="1"/>
  <c r="DW41" i="1"/>
  <c r="G41" i="1"/>
  <c r="F41" i="1"/>
  <c r="EW39" i="1"/>
  <c r="AQ39" i="1"/>
  <c r="BC39" i="1"/>
  <c r="ES39" i="1"/>
  <c r="AL39" i="1"/>
  <c r="BA39" i="1"/>
  <c r="EV39" i="1"/>
  <c r="AO39" i="1"/>
  <c r="I39" i="1"/>
  <c r="GX66" i="6" s="1"/>
  <c r="I38" i="1"/>
  <c r="DW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BC31" i="1"/>
  <c r="ES31" i="1"/>
  <c r="AL31" i="1"/>
  <c r="DW31" i="1"/>
  <c r="G31" i="1"/>
  <c r="F31" i="1"/>
  <c r="BC29" i="1"/>
  <c r="ES29" i="1"/>
  <c r="AL29" i="1"/>
  <c r="DW29" i="1"/>
  <c r="G29" i="1"/>
  <c r="F29" i="1"/>
  <c r="BC27" i="1"/>
  <c r="ES27" i="1"/>
  <c r="AL27" i="1"/>
  <c r="DW27" i="1"/>
  <c r="G27" i="1"/>
  <c r="F27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AK39" i="1" l="1"/>
  <c r="F64" i="6" s="1"/>
  <c r="ER39" i="1"/>
  <c r="GW66" i="6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U24" i="1"/>
  <c r="T24" i="1" s="1"/>
  <c r="CV24" i="1"/>
  <c r="U24" i="1" s="1"/>
  <c r="FR24" i="1"/>
  <c r="GL24" i="1"/>
  <c r="GN24" i="1"/>
  <c r="GP24" i="1"/>
  <c r="GV24" i="1"/>
  <c r="GX24" i="1"/>
  <c r="C25" i="1"/>
  <c r="D25" i="1"/>
  <c r="AC25" i="1"/>
  <c r="CQ25" i="1" s="1"/>
  <c r="P25" i="1" s="1"/>
  <c r="AD25" i="1"/>
  <c r="CR25" i="1" s="1"/>
  <c r="Q25" i="1" s="1"/>
  <c r="AE25" i="1"/>
  <c r="AF25" i="1"/>
  <c r="AG25" i="1"/>
  <c r="AH25" i="1"/>
  <c r="AI25" i="1"/>
  <c r="AJ25" i="1"/>
  <c r="CX25" i="1" s="1"/>
  <c r="W25" i="1" s="1"/>
  <c r="CS25" i="1"/>
  <c r="R25" i="1" s="1"/>
  <c r="GK25" i="1" s="1"/>
  <c r="CU25" i="1"/>
  <c r="T25" i="1" s="1"/>
  <c r="CW25" i="1"/>
  <c r="V25" i="1" s="1"/>
  <c r="FR25" i="1"/>
  <c r="GL25" i="1"/>
  <c r="GN25" i="1"/>
  <c r="GP25" i="1"/>
  <c r="GV25" i="1"/>
  <c r="GX25" i="1"/>
  <c r="I26" i="1"/>
  <c r="AC26" i="1"/>
  <c r="CQ26" i="1" s="1"/>
  <c r="AE26" i="1"/>
  <c r="AD26" i="1" s="1"/>
  <c r="CR26" i="1" s="1"/>
  <c r="AF26" i="1"/>
  <c r="AG26" i="1"/>
  <c r="CU26" i="1" s="1"/>
  <c r="T26" i="1" s="1"/>
  <c r="AH26" i="1"/>
  <c r="AI26" i="1"/>
  <c r="CW26" i="1" s="1"/>
  <c r="AJ26" i="1"/>
  <c r="CT26" i="1"/>
  <c r="S26" i="1" s="1"/>
  <c r="CV26" i="1"/>
  <c r="CX26" i="1"/>
  <c r="FR26" i="1"/>
  <c r="GL26" i="1"/>
  <c r="GO26" i="1"/>
  <c r="GP26" i="1"/>
  <c r="GV26" i="1"/>
  <c r="I27" i="1"/>
  <c r="GX27" i="1" s="1"/>
  <c r="AC27" i="1"/>
  <c r="AD27" i="1"/>
  <c r="CR27" i="1" s="1"/>
  <c r="AE27" i="1"/>
  <c r="AF27" i="1"/>
  <c r="CT27" i="1" s="1"/>
  <c r="S27" i="1" s="1"/>
  <c r="AG27" i="1"/>
  <c r="AH27" i="1"/>
  <c r="CV27" i="1" s="1"/>
  <c r="AI27" i="1"/>
  <c r="AJ27" i="1"/>
  <c r="CX27" i="1" s="1"/>
  <c r="W27" i="1" s="1"/>
  <c r="CQ27" i="1"/>
  <c r="CS27" i="1"/>
  <c r="CU27" i="1"/>
  <c r="CW27" i="1"/>
  <c r="V27" i="1" s="1"/>
  <c r="FR27" i="1"/>
  <c r="GL27" i="1"/>
  <c r="GO27" i="1"/>
  <c r="GP27" i="1"/>
  <c r="GV27" i="1"/>
  <c r="I28" i="1"/>
  <c r="S28" i="1" s="1"/>
  <c r="AC28" i="1"/>
  <c r="CQ28" i="1" s="1"/>
  <c r="AE28" i="1"/>
  <c r="AF28" i="1"/>
  <c r="AG28" i="1"/>
  <c r="AH28" i="1"/>
  <c r="AI28" i="1"/>
  <c r="CW28" i="1" s="1"/>
  <c r="AJ28" i="1"/>
  <c r="CT28" i="1"/>
  <c r="CU28" i="1"/>
  <c r="CV28" i="1"/>
  <c r="CX28" i="1"/>
  <c r="FR28" i="1"/>
  <c r="GL28" i="1"/>
  <c r="GO28" i="1"/>
  <c r="GP28" i="1"/>
  <c r="GV28" i="1"/>
  <c r="I29" i="1"/>
  <c r="AC29" i="1"/>
  <c r="AD29" i="1"/>
  <c r="CR29" i="1" s="1"/>
  <c r="AE29" i="1"/>
  <c r="AF29" i="1"/>
  <c r="AG29" i="1"/>
  <c r="AH29" i="1"/>
  <c r="CV29" i="1" s="1"/>
  <c r="AI29" i="1"/>
  <c r="AJ29" i="1"/>
  <c r="CX29" i="1" s="1"/>
  <c r="CQ29" i="1"/>
  <c r="CS29" i="1"/>
  <c r="CT29" i="1"/>
  <c r="CU29" i="1"/>
  <c r="CW29" i="1"/>
  <c r="FR29" i="1"/>
  <c r="GL29" i="1"/>
  <c r="GO29" i="1"/>
  <c r="GP29" i="1"/>
  <c r="GV29" i="1"/>
  <c r="I30" i="1"/>
  <c r="AC30" i="1"/>
  <c r="AE30" i="1"/>
  <c r="CS30" i="1" s="1"/>
  <c r="AF30" i="1"/>
  <c r="AG30" i="1"/>
  <c r="CU30" i="1" s="1"/>
  <c r="T30" i="1" s="1"/>
  <c r="AH30" i="1"/>
  <c r="AI30" i="1"/>
  <c r="CW30" i="1" s="1"/>
  <c r="AJ30" i="1"/>
  <c r="CT30" i="1"/>
  <c r="S30" i="1" s="1"/>
  <c r="CV30" i="1"/>
  <c r="CX30" i="1"/>
  <c r="FR30" i="1"/>
  <c r="GL30" i="1"/>
  <c r="GO30" i="1"/>
  <c r="GP30" i="1"/>
  <c r="GV30" i="1"/>
  <c r="I31" i="1"/>
  <c r="AC31" i="1"/>
  <c r="CQ31" i="1" s="1"/>
  <c r="AD31" i="1"/>
  <c r="CR31" i="1" s="1"/>
  <c r="AE31" i="1"/>
  <c r="AF31" i="1"/>
  <c r="AG31" i="1"/>
  <c r="AH31" i="1"/>
  <c r="CV31" i="1" s="1"/>
  <c r="AI31" i="1"/>
  <c r="AJ31" i="1"/>
  <c r="CS31" i="1"/>
  <c r="CT31" i="1"/>
  <c r="CU31" i="1"/>
  <c r="CW31" i="1"/>
  <c r="CX31" i="1"/>
  <c r="FR31" i="1"/>
  <c r="GL31" i="1"/>
  <c r="GO31" i="1"/>
  <c r="GP31" i="1"/>
  <c r="GV31" i="1"/>
  <c r="I32" i="1"/>
  <c r="GX32" i="1" s="1"/>
  <c r="AC32" i="1"/>
  <c r="CQ32" i="1" s="1"/>
  <c r="AD32" i="1"/>
  <c r="CR32" i="1" s="1"/>
  <c r="AE32" i="1"/>
  <c r="AF32" i="1"/>
  <c r="AG32" i="1"/>
  <c r="CU32" i="1" s="1"/>
  <c r="AH32" i="1"/>
  <c r="CV32" i="1" s="1"/>
  <c r="AI32" i="1"/>
  <c r="AJ32" i="1"/>
  <c r="CS32" i="1"/>
  <c r="CT32" i="1"/>
  <c r="CW32" i="1"/>
  <c r="CX32" i="1"/>
  <c r="W32" i="1" s="1"/>
  <c r="FR32" i="1"/>
  <c r="GL32" i="1"/>
  <c r="GO32" i="1"/>
  <c r="GP32" i="1"/>
  <c r="GV32" i="1"/>
  <c r="I33" i="1"/>
  <c r="AC33" i="1"/>
  <c r="AE33" i="1"/>
  <c r="AD33" i="1" s="1"/>
  <c r="AF33" i="1"/>
  <c r="CT33" i="1" s="1"/>
  <c r="AG33" i="1"/>
  <c r="AH33" i="1"/>
  <c r="CV33" i="1" s="1"/>
  <c r="AI33" i="1"/>
  <c r="AJ33" i="1"/>
  <c r="CX33" i="1" s="1"/>
  <c r="CS33" i="1"/>
  <c r="CU33" i="1"/>
  <c r="CW33" i="1"/>
  <c r="FR33" i="1"/>
  <c r="GL33" i="1"/>
  <c r="GO33" i="1"/>
  <c r="GP33" i="1"/>
  <c r="GV33" i="1"/>
  <c r="I34" i="1"/>
  <c r="AC34" i="1"/>
  <c r="AE34" i="1"/>
  <c r="CS34" i="1" s="1"/>
  <c r="AF34" i="1"/>
  <c r="AG34" i="1"/>
  <c r="CU34" i="1" s="1"/>
  <c r="T34" i="1" s="1"/>
  <c r="AH34" i="1"/>
  <c r="AI34" i="1"/>
  <c r="CW34" i="1" s="1"/>
  <c r="AJ34" i="1"/>
  <c r="CT34" i="1"/>
  <c r="S34" i="1" s="1"/>
  <c r="CV34" i="1"/>
  <c r="CX34" i="1"/>
  <c r="FR34" i="1"/>
  <c r="GL34" i="1"/>
  <c r="GO34" i="1"/>
  <c r="GP34" i="1"/>
  <c r="GV34" i="1"/>
  <c r="I35" i="1"/>
  <c r="GX35" i="1" s="1"/>
  <c r="AC35" i="1"/>
  <c r="CQ35" i="1" s="1"/>
  <c r="AD35" i="1"/>
  <c r="CR35" i="1" s="1"/>
  <c r="AE35" i="1"/>
  <c r="AF35" i="1"/>
  <c r="AG35" i="1"/>
  <c r="AH35" i="1"/>
  <c r="CV35" i="1" s="1"/>
  <c r="AI35" i="1"/>
  <c r="AJ35" i="1"/>
  <c r="CS35" i="1"/>
  <c r="CT35" i="1"/>
  <c r="CU35" i="1"/>
  <c r="CW35" i="1"/>
  <c r="CX35" i="1"/>
  <c r="FR35" i="1"/>
  <c r="GL35" i="1"/>
  <c r="GO35" i="1"/>
  <c r="GP35" i="1"/>
  <c r="GV35" i="1"/>
  <c r="I36" i="1"/>
  <c r="GX36" i="1" s="1"/>
  <c r="AC36" i="1"/>
  <c r="CQ36" i="1" s="1"/>
  <c r="AE36" i="1"/>
  <c r="AD36" i="1" s="1"/>
  <c r="CR36" i="1" s="1"/>
  <c r="AF36" i="1"/>
  <c r="AG36" i="1"/>
  <c r="CU36" i="1" s="1"/>
  <c r="AH36" i="1"/>
  <c r="AI36" i="1"/>
  <c r="AJ36" i="1"/>
  <c r="CS36" i="1"/>
  <c r="CT36" i="1"/>
  <c r="CV36" i="1"/>
  <c r="CW36" i="1"/>
  <c r="CX36" i="1"/>
  <c r="FR36" i="1"/>
  <c r="GL36" i="1"/>
  <c r="GO36" i="1"/>
  <c r="GP36" i="1"/>
  <c r="GV36" i="1"/>
  <c r="I37" i="1"/>
  <c r="AC37" i="1"/>
  <c r="AE37" i="1"/>
  <c r="AD37" i="1" s="1"/>
  <c r="AF37" i="1"/>
  <c r="CT37" i="1" s="1"/>
  <c r="AG37" i="1"/>
  <c r="AH37" i="1"/>
  <c r="AI37" i="1"/>
  <c r="AJ37" i="1"/>
  <c r="CX37" i="1" s="1"/>
  <c r="CS37" i="1"/>
  <c r="CU37" i="1"/>
  <c r="CV37" i="1"/>
  <c r="CW37" i="1"/>
  <c r="FR37" i="1"/>
  <c r="GL37" i="1"/>
  <c r="GO37" i="1"/>
  <c r="GP37" i="1"/>
  <c r="GV37" i="1"/>
  <c r="C38" i="1"/>
  <c r="D38" i="1"/>
  <c r="AC38" i="1"/>
  <c r="AB38" i="1" s="1"/>
  <c r="AD38" i="1"/>
  <c r="CR38" i="1" s="1"/>
  <c r="Q38" i="1" s="1"/>
  <c r="AE38" i="1"/>
  <c r="AF38" i="1"/>
  <c r="AG38" i="1"/>
  <c r="CU38" i="1" s="1"/>
  <c r="T38" i="1" s="1"/>
  <c r="AH38" i="1"/>
  <c r="CV38" i="1" s="1"/>
  <c r="U38" i="1" s="1"/>
  <c r="AI38" i="1"/>
  <c r="AJ38" i="1"/>
  <c r="CS38" i="1"/>
  <c r="R38" i="1" s="1"/>
  <c r="GK38" i="1" s="1"/>
  <c r="CT38" i="1"/>
  <c r="S38" i="1" s="1"/>
  <c r="CW38" i="1"/>
  <c r="V38" i="1" s="1"/>
  <c r="CX38" i="1"/>
  <c r="W38" i="1" s="1"/>
  <c r="FR38" i="1"/>
  <c r="GL38" i="1"/>
  <c r="GN38" i="1"/>
  <c r="GP38" i="1"/>
  <c r="GV38" i="1"/>
  <c r="GX38" i="1"/>
  <c r="C39" i="1"/>
  <c r="D39" i="1"/>
  <c r="AC39" i="1"/>
  <c r="AE39" i="1"/>
  <c r="AD39" i="1" s="1"/>
  <c r="AF39" i="1"/>
  <c r="AG39" i="1"/>
  <c r="AH39" i="1"/>
  <c r="H69" i="6" s="1"/>
  <c r="AI39" i="1"/>
  <c r="CW39" i="1" s="1"/>
  <c r="V39" i="1" s="1"/>
  <c r="AJ39" i="1"/>
  <c r="CX39" i="1" s="1"/>
  <c r="W39" i="1" s="1"/>
  <c r="CU39" i="1"/>
  <c r="T39" i="1" s="1"/>
  <c r="CV39" i="1"/>
  <c r="U39" i="1" s="1"/>
  <c r="I69" i="6" s="1"/>
  <c r="FR39" i="1"/>
  <c r="GL39" i="1"/>
  <c r="GN39" i="1"/>
  <c r="GP39" i="1"/>
  <c r="GV39" i="1"/>
  <c r="GX39" i="1" s="1"/>
  <c r="I40" i="1"/>
  <c r="AC40" i="1"/>
  <c r="AB40" i="1" s="1"/>
  <c r="AD40" i="1"/>
  <c r="CR40" i="1" s="1"/>
  <c r="AE40" i="1"/>
  <c r="CS40" i="1" s="1"/>
  <c r="AF40" i="1"/>
  <c r="AG40" i="1"/>
  <c r="AH40" i="1"/>
  <c r="CV40" i="1" s="1"/>
  <c r="AI40" i="1"/>
  <c r="CW40" i="1" s="1"/>
  <c r="AJ40" i="1"/>
  <c r="CQ40" i="1"/>
  <c r="CT40" i="1"/>
  <c r="CU40" i="1"/>
  <c r="CX40" i="1"/>
  <c r="W40" i="1" s="1"/>
  <c r="FR40" i="1"/>
  <c r="GL40" i="1"/>
  <c r="GO40" i="1"/>
  <c r="GP40" i="1"/>
  <c r="GV40" i="1"/>
  <c r="I41" i="1"/>
  <c r="AC41" i="1"/>
  <c r="AD41" i="1"/>
  <c r="CR41" i="1" s="1"/>
  <c r="AE41" i="1"/>
  <c r="AF41" i="1"/>
  <c r="AG41" i="1"/>
  <c r="CU41" i="1" s="1"/>
  <c r="AH41" i="1"/>
  <c r="CV41" i="1" s="1"/>
  <c r="AI41" i="1"/>
  <c r="AJ41" i="1"/>
  <c r="CS41" i="1"/>
  <c r="CT41" i="1"/>
  <c r="CW41" i="1"/>
  <c r="CX41" i="1"/>
  <c r="FR41" i="1"/>
  <c r="GL41" i="1"/>
  <c r="GO41" i="1"/>
  <c r="GP41" i="1"/>
  <c r="GV41" i="1"/>
  <c r="I42" i="1"/>
  <c r="V42" i="1" s="1"/>
  <c r="AB42" i="1"/>
  <c r="AC42" i="1"/>
  <c r="CQ42" i="1" s="1"/>
  <c r="AE42" i="1"/>
  <c r="AD42" i="1" s="1"/>
  <c r="CR42" i="1" s="1"/>
  <c r="AF42" i="1"/>
  <c r="CT42" i="1" s="1"/>
  <c r="AG42" i="1"/>
  <c r="CU42" i="1" s="1"/>
  <c r="AH42" i="1"/>
  <c r="AI42" i="1"/>
  <c r="AJ42" i="1"/>
  <c r="CX42" i="1" s="1"/>
  <c r="CS42" i="1"/>
  <c r="CV42" i="1"/>
  <c r="CW42" i="1"/>
  <c r="FR42" i="1"/>
  <c r="GL42" i="1"/>
  <c r="GO42" i="1"/>
  <c r="GP42" i="1"/>
  <c r="GV42" i="1"/>
  <c r="I43" i="1"/>
  <c r="AC43" i="1"/>
  <c r="AE43" i="1"/>
  <c r="AF43" i="1"/>
  <c r="CT43" i="1" s="1"/>
  <c r="AG43" i="1"/>
  <c r="AH43" i="1"/>
  <c r="AI43" i="1"/>
  <c r="CW43" i="1" s="1"/>
  <c r="AJ43" i="1"/>
  <c r="CX43" i="1" s="1"/>
  <c r="CQ43" i="1"/>
  <c r="CU43" i="1"/>
  <c r="CV43" i="1"/>
  <c r="FR43" i="1"/>
  <c r="GL43" i="1"/>
  <c r="GO43" i="1"/>
  <c r="GP43" i="1"/>
  <c r="GV43" i="1"/>
  <c r="I44" i="1"/>
  <c r="U44" i="1" s="1"/>
  <c r="AC44" i="1"/>
  <c r="AE44" i="1"/>
  <c r="CS44" i="1" s="1"/>
  <c r="AF44" i="1"/>
  <c r="AG44" i="1"/>
  <c r="AH44" i="1"/>
  <c r="AI44" i="1"/>
  <c r="CW44" i="1" s="1"/>
  <c r="AJ44" i="1"/>
  <c r="CT44" i="1"/>
  <c r="CU44" i="1"/>
  <c r="CV44" i="1"/>
  <c r="CX44" i="1"/>
  <c r="FR44" i="1"/>
  <c r="GL44" i="1"/>
  <c r="GO44" i="1"/>
  <c r="GP44" i="1"/>
  <c r="GV44" i="1"/>
  <c r="GX44" i="1" s="1"/>
  <c r="I45" i="1"/>
  <c r="GX45" i="1" s="1"/>
  <c r="AC45" i="1"/>
  <c r="AB45" i="1" s="1"/>
  <c r="AD45" i="1"/>
  <c r="CR45" i="1" s="1"/>
  <c r="AE45" i="1"/>
  <c r="AF45" i="1"/>
  <c r="AG45" i="1"/>
  <c r="AH45" i="1"/>
  <c r="CV45" i="1" s="1"/>
  <c r="AI45" i="1"/>
  <c r="AJ45" i="1"/>
  <c r="CQ45" i="1"/>
  <c r="CS45" i="1"/>
  <c r="CT45" i="1"/>
  <c r="CU45" i="1"/>
  <c r="CW45" i="1"/>
  <c r="CX45" i="1"/>
  <c r="FR45" i="1"/>
  <c r="GL45" i="1"/>
  <c r="GO45" i="1"/>
  <c r="GP45" i="1"/>
  <c r="GV45" i="1"/>
  <c r="C46" i="1"/>
  <c r="D46" i="1"/>
  <c r="T46" i="1"/>
  <c r="U46" i="1"/>
  <c r="AC46" i="1"/>
  <c r="CQ46" i="1" s="1"/>
  <c r="P46" i="1" s="1"/>
  <c r="AE46" i="1"/>
  <c r="AD46" i="1" s="1"/>
  <c r="AF46" i="1"/>
  <c r="CT46" i="1" s="1"/>
  <c r="S46" i="1" s="1"/>
  <c r="AG46" i="1"/>
  <c r="AH46" i="1"/>
  <c r="AI46" i="1"/>
  <c r="AJ46" i="1"/>
  <c r="CX46" i="1" s="1"/>
  <c r="W46" i="1" s="1"/>
  <c r="CS46" i="1"/>
  <c r="R46" i="1" s="1"/>
  <c r="GK46" i="1" s="1"/>
  <c r="CU46" i="1"/>
  <c r="CV46" i="1"/>
  <c r="CW46" i="1"/>
  <c r="V46" i="1" s="1"/>
  <c r="FR46" i="1"/>
  <c r="GL46" i="1"/>
  <c r="GN46" i="1"/>
  <c r="GP46" i="1"/>
  <c r="GV46" i="1"/>
  <c r="GX46" i="1"/>
  <c r="C47" i="1"/>
  <c r="D47" i="1"/>
  <c r="AC47" i="1"/>
  <c r="CQ47" i="1" s="1"/>
  <c r="P47" i="1" s="1"/>
  <c r="AD47" i="1"/>
  <c r="CR47" i="1" s="1"/>
  <c r="Q47" i="1" s="1"/>
  <c r="AE47" i="1"/>
  <c r="AF47" i="1"/>
  <c r="AG47" i="1"/>
  <c r="AH47" i="1"/>
  <c r="AI47" i="1"/>
  <c r="AJ47" i="1"/>
  <c r="CS47" i="1"/>
  <c r="R47" i="1" s="1"/>
  <c r="GK47" i="1" s="1"/>
  <c r="CU47" i="1"/>
  <c r="T47" i="1" s="1"/>
  <c r="CW47" i="1"/>
  <c r="V47" i="1" s="1"/>
  <c r="CX47" i="1"/>
  <c r="W47" i="1" s="1"/>
  <c r="FR47" i="1"/>
  <c r="GL47" i="1"/>
  <c r="GN47" i="1"/>
  <c r="GP47" i="1"/>
  <c r="GV47" i="1"/>
  <c r="GX47" i="1"/>
  <c r="I48" i="1"/>
  <c r="GX48" i="1" s="1"/>
  <c r="AC48" i="1"/>
  <c r="CQ48" i="1" s="1"/>
  <c r="AE48" i="1"/>
  <c r="AD48" i="1" s="1"/>
  <c r="CR48" i="1" s="1"/>
  <c r="AF48" i="1"/>
  <c r="AG48" i="1"/>
  <c r="CU48" i="1" s="1"/>
  <c r="T48" i="1" s="1"/>
  <c r="AH48" i="1"/>
  <c r="AI48" i="1"/>
  <c r="AJ48" i="1"/>
  <c r="CS48" i="1"/>
  <c r="R48" i="1" s="1"/>
  <c r="GK48" i="1" s="1"/>
  <c r="CT48" i="1"/>
  <c r="CV48" i="1"/>
  <c r="CW48" i="1"/>
  <c r="CX48" i="1"/>
  <c r="W48" i="1" s="1"/>
  <c r="FR48" i="1"/>
  <c r="GL48" i="1"/>
  <c r="GO48" i="1"/>
  <c r="GP48" i="1"/>
  <c r="GV48" i="1"/>
  <c r="I49" i="1"/>
  <c r="GX49" i="1" s="1"/>
  <c r="AC49" i="1"/>
  <c r="AE49" i="1"/>
  <c r="AD49" i="1" s="1"/>
  <c r="AF49" i="1"/>
  <c r="CT49" i="1" s="1"/>
  <c r="AG49" i="1"/>
  <c r="AH49" i="1"/>
  <c r="AI49" i="1"/>
  <c r="AJ49" i="1"/>
  <c r="CX49" i="1" s="1"/>
  <c r="CQ49" i="1"/>
  <c r="CS49" i="1"/>
  <c r="CU49" i="1"/>
  <c r="CV49" i="1"/>
  <c r="CW49" i="1"/>
  <c r="FR49" i="1"/>
  <c r="GL49" i="1"/>
  <c r="GO49" i="1"/>
  <c r="GP49" i="1"/>
  <c r="GV49" i="1"/>
  <c r="C50" i="1"/>
  <c r="D50" i="1"/>
  <c r="AC50" i="1"/>
  <c r="AB50" i="1" s="1"/>
  <c r="AD50" i="1"/>
  <c r="CR50" i="1" s="1"/>
  <c r="Q50" i="1" s="1"/>
  <c r="AE50" i="1"/>
  <c r="AF50" i="1"/>
  <c r="AG50" i="1"/>
  <c r="AH50" i="1"/>
  <c r="CV50" i="1" s="1"/>
  <c r="U50" i="1" s="1"/>
  <c r="AI50" i="1"/>
  <c r="AJ50" i="1"/>
  <c r="CQ50" i="1"/>
  <c r="P50" i="1" s="1"/>
  <c r="CS50" i="1"/>
  <c r="R50" i="1" s="1"/>
  <c r="GK50" i="1" s="1"/>
  <c r="CT50" i="1"/>
  <c r="S50" i="1" s="1"/>
  <c r="CU50" i="1"/>
  <c r="T50" i="1" s="1"/>
  <c r="CW50" i="1"/>
  <c r="V50" i="1" s="1"/>
  <c r="CX50" i="1"/>
  <c r="W50" i="1" s="1"/>
  <c r="FR50" i="1"/>
  <c r="GL50" i="1"/>
  <c r="GN50" i="1"/>
  <c r="GO50" i="1"/>
  <c r="GV50" i="1"/>
  <c r="GX50" i="1"/>
  <c r="C51" i="1"/>
  <c r="D51" i="1"/>
  <c r="AC51" i="1"/>
  <c r="AE51" i="1"/>
  <c r="AD51" i="1" s="1"/>
  <c r="AF51" i="1"/>
  <c r="AG51" i="1"/>
  <c r="AH51" i="1"/>
  <c r="H83" i="6" s="1"/>
  <c r="AI51" i="1"/>
  <c r="AJ51" i="1"/>
  <c r="CX51" i="1" s="1"/>
  <c r="W51" i="1" s="1"/>
  <c r="CQ51" i="1"/>
  <c r="P51" i="1" s="1"/>
  <c r="CS51" i="1"/>
  <c r="R51" i="1" s="1"/>
  <c r="GK51" i="1" s="1"/>
  <c r="CU51" i="1"/>
  <c r="T51" i="1" s="1"/>
  <c r="CW51" i="1"/>
  <c r="V51" i="1" s="1"/>
  <c r="FR51" i="1"/>
  <c r="GL51" i="1"/>
  <c r="GN51" i="1"/>
  <c r="GO51" i="1"/>
  <c r="GV51" i="1"/>
  <c r="GX51" i="1"/>
  <c r="B53" i="1"/>
  <c r="B22" i="1" s="1"/>
  <c r="C53" i="1"/>
  <c r="C22" i="1" s="1"/>
  <c r="D53" i="1"/>
  <c r="D22" i="1" s="1"/>
  <c r="F53" i="1"/>
  <c r="F22" i="1" s="1"/>
  <c r="G53" i="1"/>
  <c r="G22" i="1" s="1"/>
  <c r="BX53" i="1"/>
  <c r="BX22" i="1" s="1"/>
  <c r="CK53" i="1"/>
  <c r="CK22" i="1" s="1"/>
  <c r="CL53" i="1"/>
  <c r="CL22" i="1" s="1"/>
  <c r="FP53" i="1"/>
  <c r="FP22" i="1" s="1"/>
  <c r="GC53" i="1"/>
  <c r="GD53" i="1"/>
  <c r="B82" i="1"/>
  <c r="B18" i="1" s="1"/>
  <c r="C82" i="1"/>
  <c r="C18" i="1" s="1"/>
  <c r="D82" i="1"/>
  <c r="D18" i="1" s="1"/>
  <c r="F82" i="1"/>
  <c r="F18" i="1" s="1"/>
  <c r="G82" i="1"/>
  <c r="G18" i="1" s="1"/>
  <c r="P43" i="1" l="1"/>
  <c r="CV51" i="1"/>
  <c r="U51" i="1" s="1"/>
  <c r="I83" i="6" s="1"/>
  <c r="CT51" i="1"/>
  <c r="S51" i="1" s="1"/>
  <c r="U80" i="6" s="1"/>
  <c r="T82" i="6"/>
  <c r="H81" i="6"/>
  <c r="T81" i="6"/>
  <c r="H82" i="6"/>
  <c r="T80" i="6"/>
  <c r="H80" i="6"/>
  <c r="W41" i="1"/>
  <c r="CT47" i="1"/>
  <c r="S47" i="1" s="1"/>
  <c r="U74" i="6" s="1"/>
  <c r="T75" i="6"/>
  <c r="T76" i="6"/>
  <c r="H75" i="6"/>
  <c r="T74" i="6"/>
  <c r="H76" i="6"/>
  <c r="H74" i="6"/>
  <c r="W45" i="1"/>
  <c r="R45" i="1"/>
  <c r="GK45" i="1" s="1"/>
  <c r="S41" i="1"/>
  <c r="CZ41" i="1" s="1"/>
  <c r="Y41" i="1" s="1"/>
  <c r="U41" i="1"/>
  <c r="Q41" i="1"/>
  <c r="T35" i="1"/>
  <c r="CV47" i="1"/>
  <c r="U47" i="1" s="1"/>
  <c r="I77" i="6" s="1"/>
  <c r="H77" i="6"/>
  <c r="W36" i="1"/>
  <c r="R36" i="1"/>
  <c r="GK36" i="1" s="1"/>
  <c r="V48" i="1"/>
  <c r="V45" i="1"/>
  <c r="P45" i="1"/>
  <c r="T31" i="1"/>
  <c r="AB47" i="1"/>
  <c r="H73" i="6" s="1"/>
  <c r="BY53" i="1"/>
  <c r="BY22" i="1" s="1"/>
  <c r="U48" i="1"/>
  <c r="Q48" i="1"/>
  <c r="P49" i="1"/>
  <c r="R49" i="1"/>
  <c r="GK49" i="1" s="1"/>
  <c r="FR53" i="1"/>
  <c r="FR22" i="1" s="1"/>
  <c r="U49" i="1"/>
  <c r="W49" i="1"/>
  <c r="S49" i="1"/>
  <c r="CZ49" i="1" s="1"/>
  <c r="Y49" i="1" s="1"/>
  <c r="V49" i="1"/>
  <c r="T49" i="1"/>
  <c r="S48" i="1"/>
  <c r="P48" i="1"/>
  <c r="CT39" i="1"/>
  <c r="S39" i="1" s="1"/>
  <c r="U65" i="6" s="1"/>
  <c r="T67" i="6"/>
  <c r="H65" i="6"/>
  <c r="T68" i="6"/>
  <c r="H67" i="6"/>
  <c r="T65" i="6"/>
  <c r="H68" i="6"/>
  <c r="T36" i="1"/>
  <c r="R41" i="1"/>
  <c r="GK41" i="1" s="1"/>
  <c r="T41" i="1"/>
  <c r="T70" i="6"/>
  <c r="H70" i="6"/>
  <c r="T40" i="1"/>
  <c r="V40" i="1"/>
  <c r="R40" i="1"/>
  <c r="GK40" i="1" s="1"/>
  <c r="V36" i="1"/>
  <c r="U28" i="1"/>
  <c r="GX41" i="1"/>
  <c r="GX70" i="6"/>
  <c r="E70" i="6"/>
  <c r="GW70" i="6"/>
  <c r="CQ39" i="1"/>
  <c r="P39" i="1" s="1"/>
  <c r="U66" i="6" s="1"/>
  <c r="K66" i="6" s="1"/>
  <c r="H66" i="6"/>
  <c r="T66" i="6"/>
  <c r="U36" i="1"/>
  <c r="AB29" i="1"/>
  <c r="GX42" i="1"/>
  <c r="R42" i="1"/>
  <c r="GK42" i="1" s="1"/>
  <c r="T44" i="1"/>
  <c r="W44" i="1"/>
  <c r="S40" i="1"/>
  <c r="CY40" i="1" s="1"/>
  <c r="X40" i="1" s="1"/>
  <c r="U40" i="1"/>
  <c r="Q40" i="1"/>
  <c r="T45" i="1"/>
  <c r="S45" i="1"/>
  <c r="CZ45" i="1" s="1"/>
  <c r="Y45" i="1" s="1"/>
  <c r="V44" i="1"/>
  <c r="R44" i="1"/>
  <c r="GK44" i="1" s="1"/>
  <c r="GX43" i="1"/>
  <c r="W43" i="1"/>
  <c r="S43" i="1"/>
  <c r="U43" i="1"/>
  <c r="V43" i="1"/>
  <c r="T43" i="1"/>
  <c r="V41" i="1"/>
  <c r="U42" i="1"/>
  <c r="P42" i="1"/>
  <c r="S44" i="1"/>
  <c r="CY44" i="1" s="1"/>
  <c r="X44" i="1" s="1"/>
  <c r="GX40" i="1"/>
  <c r="P40" i="1"/>
  <c r="W31" i="1"/>
  <c r="R31" i="1"/>
  <c r="GK31" i="1" s="1"/>
  <c r="U31" i="1"/>
  <c r="Q31" i="1"/>
  <c r="BZ53" i="1"/>
  <c r="BZ22" i="1" s="1"/>
  <c r="FQ53" i="1"/>
  <c r="FQ22" i="1" s="1"/>
  <c r="W28" i="1"/>
  <c r="P28" i="1"/>
  <c r="GX55" i="6"/>
  <c r="E55" i="6"/>
  <c r="GW55" i="6"/>
  <c r="T29" i="1"/>
  <c r="GX53" i="6"/>
  <c r="E53" i="6"/>
  <c r="GW53" i="6"/>
  <c r="CQ37" i="1"/>
  <c r="P37" i="1" s="1"/>
  <c r="U61" i="6" s="1"/>
  <c r="K61" i="6" s="1"/>
  <c r="T61" i="6"/>
  <c r="H61" i="6"/>
  <c r="AB35" i="1"/>
  <c r="T59" i="6"/>
  <c r="H59" i="6"/>
  <c r="CQ33" i="1"/>
  <c r="P33" i="1" s="1"/>
  <c r="U57" i="6" s="1"/>
  <c r="K57" i="6" s="1"/>
  <c r="T57" i="6"/>
  <c r="H57" i="6"/>
  <c r="GX29" i="1"/>
  <c r="T51" i="6"/>
  <c r="H51" i="6"/>
  <c r="CT25" i="1"/>
  <c r="S25" i="1" s="1"/>
  <c r="U47" i="6" s="1"/>
  <c r="T48" i="6"/>
  <c r="H49" i="6"/>
  <c r="T49" i="6"/>
  <c r="H48" i="6"/>
  <c r="T47" i="6"/>
  <c r="H47" i="6"/>
  <c r="GX61" i="6"/>
  <c r="E61" i="6"/>
  <c r="GW61" i="6"/>
  <c r="GX59" i="6"/>
  <c r="E59" i="6"/>
  <c r="GW59" i="6"/>
  <c r="GX33" i="1"/>
  <c r="GX57" i="6"/>
  <c r="E57" i="6"/>
  <c r="GW57" i="6"/>
  <c r="R27" i="1"/>
  <c r="GK27" i="1" s="1"/>
  <c r="GX51" i="6"/>
  <c r="FJ85" i="6" s="1"/>
  <c r="E51" i="6"/>
  <c r="GW51" i="6"/>
  <c r="V37" i="1"/>
  <c r="Q36" i="1"/>
  <c r="T55" i="6"/>
  <c r="H55" i="6"/>
  <c r="T53" i="6"/>
  <c r="H53" i="6"/>
  <c r="GX26" i="1"/>
  <c r="CV25" i="1"/>
  <c r="U25" i="1" s="1"/>
  <c r="I50" i="6" s="1"/>
  <c r="H50" i="6"/>
  <c r="U37" i="1"/>
  <c r="W37" i="1"/>
  <c r="S37" i="1"/>
  <c r="S35" i="1"/>
  <c r="R33" i="1"/>
  <c r="GK33" i="1" s="1"/>
  <c r="U33" i="1"/>
  <c r="GX31" i="1"/>
  <c r="S31" i="1"/>
  <c r="S29" i="1"/>
  <c r="P27" i="1"/>
  <c r="U51" i="6" s="1"/>
  <c r="K51" i="6" s="1"/>
  <c r="T37" i="1"/>
  <c r="W35" i="1"/>
  <c r="R35" i="1"/>
  <c r="GK35" i="1" s="1"/>
  <c r="U35" i="1"/>
  <c r="Q35" i="1"/>
  <c r="R32" i="1"/>
  <c r="GK32" i="1" s="1"/>
  <c r="T32" i="1"/>
  <c r="U30" i="1"/>
  <c r="R29" i="1"/>
  <c r="GK29" i="1" s="1"/>
  <c r="U29" i="1"/>
  <c r="Q29" i="1"/>
  <c r="GX37" i="1"/>
  <c r="R37" i="1"/>
  <c r="GK37" i="1" s="1"/>
  <c r="V35" i="1"/>
  <c r="P35" i="1"/>
  <c r="U59" i="6" s="1"/>
  <c r="K59" i="6" s="1"/>
  <c r="V33" i="1"/>
  <c r="W33" i="1"/>
  <c r="S33" i="1"/>
  <c r="V31" i="1"/>
  <c r="P31" i="1"/>
  <c r="V29" i="1"/>
  <c r="P29" i="1"/>
  <c r="U53" i="6" s="1"/>
  <c r="K53" i="6" s="1"/>
  <c r="T33" i="1"/>
  <c r="W29" i="1"/>
  <c r="S36" i="1"/>
  <c r="P36" i="1"/>
  <c r="W34" i="1"/>
  <c r="V34" i="1"/>
  <c r="R34" i="1"/>
  <c r="GK34" i="1" s="1"/>
  <c r="V32" i="1"/>
  <c r="GX30" i="1"/>
  <c r="T28" i="1"/>
  <c r="V28" i="1"/>
  <c r="W26" i="1"/>
  <c r="V26" i="1"/>
  <c r="Q26" i="1"/>
  <c r="U34" i="1"/>
  <c r="S32" i="1"/>
  <c r="CY32" i="1" s="1"/>
  <c r="X32" i="1" s="1"/>
  <c r="U32" i="1"/>
  <c r="Q32" i="1"/>
  <c r="W30" i="1"/>
  <c r="V30" i="1"/>
  <c r="R30" i="1"/>
  <c r="GK30" i="1" s="1"/>
  <c r="GX28" i="1"/>
  <c r="U26" i="1"/>
  <c r="P26" i="1"/>
  <c r="P32" i="1"/>
  <c r="GX34" i="1"/>
  <c r="GD22" i="1"/>
  <c r="EU53" i="1"/>
  <c r="CR49" i="1"/>
  <c r="Q49" i="1" s="1"/>
  <c r="AB49" i="1"/>
  <c r="CR46" i="1"/>
  <c r="Q46" i="1" s="1"/>
  <c r="CP46" i="1" s="1"/>
  <c r="O46" i="1" s="1"/>
  <c r="AB46" i="1"/>
  <c r="GC22" i="1"/>
  <c r="ET53" i="1"/>
  <c r="CY51" i="1"/>
  <c r="X51" i="1" s="1"/>
  <c r="U81" i="6" s="1"/>
  <c r="K81" i="6" s="1"/>
  <c r="CZ51" i="1"/>
  <c r="Y51" i="1" s="1"/>
  <c r="U82" i="6" s="1"/>
  <c r="K82" i="6" s="1"/>
  <c r="CP50" i="1"/>
  <c r="O50" i="1" s="1"/>
  <c r="CR51" i="1"/>
  <c r="Q51" i="1" s="1"/>
  <c r="CP51" i="1" s="1"/>
  <c r="O51" i="1" s="1"/>
  <c r="AB51" i="1"/>
  <c r="H79" i="6" s="1"/>
  <c r="CZ50" i="1"/>
  <c r="Y50" i="1" s="1"/>
  <c r="CY50" i="1"/>
  <c r="X50" i="1" s="1"/>
  <c r="CY46" i="1"/>
  <c r="X46" i="1" s="1"/>
  <c r="CZ46" i="1"/>
  <c r="Y46" i="1" s="1"/>
  <c r="EG53" i="1"/>
  <c r="AO53" i="1"/>
  <c r="AB41" i="1"/>
  <c r="CQ41" i="1"/>
  <c r="P41" i="1" s="1"/>
  <c r="U70" i="6" s="1"/>
  <c r="K70" i="6" s="1"/>
  <c r="CR39" i="1"/>
  <c r="Q39" i="1" s="1"/>
  <c r="AB39" i="1"/>
  <c r="H64" i="6" s="1"/>
  <c r="CZ38" i="1"/>
  <c r="Y38" i="1" s="1"/>
  <c r="CY38" i="1"/>
  <c r="X38" i="1" s="1"/>
  <c r="AB48" i="1"/>
  <c r="U45" i="1"/>
  <c r="Q45" i="1"/>
  <c r="T42" i="1"/>
  <c r="CR33" i="1"/>
  <c r="Q33" i="1" s="1"/>
  <c r="AB33" i="1"/>
  <c r="BC53" i="1"/>
  <c r="AD43" i="1"/>
  <c r="CS43" i="1"/>
  <c r="R43" i="1" s="1"/>
  <c r="W42" i="1"/>
  <c r="S42" i="1"/>
  <c r="BB53" i="1"/>
  <c r="CQ44" i="1"/>
  <c r="P44" i="1" s="1"/>
  <c r="AD44" i="1"/>
  <c r="CR44" i="1" s="1"/>
  <c r="Q44" i="1" s="1"/>
  <c r="Q42" i="1"/>
  <c r="CR37" i="1"/>
  <c r="Q37" i="1" s="1"/>
  <c r="AB37" i="1"/>
  <c r="CS39" i="1"/>
  <c r="R39" i="1" s="1"/>
  <c r="CZ39" i="1" s="1"/>
  <c r="Y39" i="1" s="1"/>
  <c r="U68" i="6" s="1"/>
  <c r="K68" i="6" s="1"/>
  <c r="CQ38" i="1"/>
  <c r="P38" i="1" s="1"/>
  <c r="CP38" i="1" s="1"/>
  <c r="O38" i="1" s="1"/>
  <c r="AB27" i="1"/>
  <c r="CR24" i="1"/>
  <c r="Q24" i="1" s="1"/>
  <c r="AB24" i="1"/>
  <c r="AB36" i="1"/>
  <c r="CQ34" i="1"/>
  <c r="P34" i="1" s="1"/>
  <c r="AD34" i="1"/>
  <c r="CR34" i="1" s="1"/>
  <c r="Q34" i="1" s="1"/>
  <c r="AB32" i="1"/>
  <c r="CQ30" i="1"/>
  <c r="P30" i="1" s="1"/>
  <c r="AD30" i="1"/>
  <c r="CR30" i="1" s="1"/>
  <c r="Q30" i="1" s="1"/>
  <c r="T27" i="1"/>
  <c r="AB31" i="1"/>
  <c r="U27" i="1"/>
  <c r="Q27" i="1"/>
  <c r="CS28" i="1"/>
  <c r="R28" i="1" s="1"/>
  <c r="GK28" i="1" s="1"/>
  <c r="AD28" i="1"/>
  <c r="CR28" i="1" s="1"/>
  <c r="Q28" i="1" s="1"/>
  <c r="CS24" i="1"/>
  <c r="R24" i="1" s="1"/>
  <c r="CY24" i="1" s="1"/>
  <c r="X24" i="1" s="1"/>
  <c r="CS26" i="1"/>
  <c r="R26" i="1" s="1"/>
  <c r="GK26" i="1" s="1"/>
  <c r="AB26" i="1"/>
  <c r="AB25" i="1"/>
  <c r="H46" i="6" s="1"/>
  <c r="CP47" i="1" l="1"/>
  <c r="O47" i="1" s="1"/>
  <c r="FY53" i="1"/>
  <c r="FY22" i="1" s="1"/>
  <c r="CP48" i="1"/>
  <c r="O48" i="1" s="1"/>
  <c r="FI85" i="6"/>
  <c r="CP33" i="1"/>
  <c r="O33" i="1" s="1"/>
  <c r="CY47" i="1"/>
  <c r="X47" i="1" s="1"/>
  <c r="U75" i="6" s="1"/>
  <c r="K75" i="6" s="1"/>
  <c r="CZ36" i="1"/>
  <c r="Y36" i="1" s="1"/>
  <c r="CZ48" i="1"/>
  <c r="Y48" i="1" s="1"/>
  <c r="CZ32" i="1"/>
  <c r="Y32" i="1" s="1"/>
  <c r="CZ47" i="1"/>
  <c r="Y47" i="1" s="1"/>
  <c r="U76" i="6" s="1"/>
  <c r="K76" i="6" s="1"/>
  <c r="GZ82" i="6"/>
  <c r="I82" i="6"/>
  <c r="HE82" i="6"/>
  <c r="CZ35" i="1"/>
  <c r="Y35" i="1" s="1"/>
  <c r="CY48" i="1"/>
  <c r="X48" i="1" s="1"/>
  <c r="S84" i="6"/>
  <c r="J84" i="6" s="1"/>
  <c r="K80" i="6"/>
  <c r="R84" i="6"/>
  <c r="GJ80" i="6"/>
  <c r="I80" i="6"/>
  <c r="HE80" i="6"/>
  <c r="FQ85" i="6" s="1"/>
  <c r="H100" i="6" s="1"/>
  <c r="GK80" i="6"/>
  <c r="I81" i="6"/>
  <c r="HE81" i="6"/>
  <c r="GY81" i="6"/>
  <c r="DY53" i="1"/>
  <c r="DY22" i="1" s="1"/>
  <c r="CP49" i="1"/>
  <c r="O49" i="1" s="1"/>
  <c r="CY49" i="1"/>
  <c r="X49" i="1" s="1"/>
  <c r="CY33" i="1"/>
  <c r="X33" i="1" s="1"/>
  <c r="CY31" i="1"/>
  <c r="X31" i="1" s="1"/>
  <c r="CY45" i="1"/>
  <c r="X45" i="1" s="1"/>
  <c r="CP45" i="1"/>
  <c r="O45" i="1" s="1"/>
  <c r="CZ40" i="1"/>
  <c r="Y40" i="1" s="1"/>
  <c r="AP53" i="1"/>
  <c r="AP22" i="1" s="1"/>
  <c r="CP40" i="1"/>
  <c r="O40" i="1" s="1"/>
  <c r="GN40" i="1" s="1"/>
  <c r="CY25" i="1"/>
  <c r="X25" i="1" s="1"/>
  <c r="U48" i="6" s="1"/>
  <c r="K48" i="6" s="1"/>
  <c r="CY29" i="1"/>
  <c r="X29" i="1" s="1"/>
  <c r="CP39" i="1"/>
  <c r="O39" i="1" s="1"/>
  <c r="GZ76" i="6"/>
  <c r="I76" i="6"/>
  <c r="HC76" i="6"/>
  <c r="I75" i="6"/>
  <c r="HC75" i="6"/>
  <c r="GY75" i="6"/>
  <c r="CZ37" i="1"/>
  <c r="Y37" i="1" s="1"/>
  <c r="CY36" i="1"/>
  <c r="X36" i="1" s="1"/>
  <c r="CP28" i="1"/>
  <c r="O28" i="1" s="1"/>
  <c r="CY30" i="1"/>
  <c r="X30" i="1" s="1"/>
  <c r="EI53" i="1"/>
  <c r="DJ85" i="6" s="1"/>
  <c r="CY41" i="1"/>
  <c r="X41" i="1" s="1"/>
  <c r="CZ44" i="1"/>
  <c r="Y44" i="1" s="1"/>
  <c r="GN44" i="1" s="1"/>
  <c r="R78" i="6"/>
  <c r="GJ74" i="6"/>
  <c r="I74" i="6"/>
  <c r="HC74" i="6"/>
  <c r="GK74" i="6"/>
  <c r="K74" i="6"/>
  <c r="AJ53" i="1"/>
  <c r="W53" i="1" s="1"/>
  <c r="AH53" i="1"/>
  <c r="U53" i="1" s="1"/>
  <c r="CY27" i="1"/>
  <c r="X27" i="1" s="1"/>
  <c r="CZ31" i="1"/>
  <c r="Y31" i="1" s="1"/>
  <c r="DX53" i="1"/>
  <c r="DX22" i="1" s="1"/>
  <c r="CP36" i="1"/>
  <c r="O36" i="1" s="1"/>
  <c r="GS66" i="6"/>
  <c r="GJ66" i="6"/>
  <c r="GN66" i="6"/>
  <c r="EZ85" i="6" s="1"/>
  <c r="H91" i="6" s="1"/>
  <c r="HC66" i="6"/>
  <c r="GQ66" i="6"/>
  <c r="I66" i="6"/>
  <c r="GP66" i="6"/>
  <c r="I68" i="6"/>
  <c r="HC68" i="6"/>
  <c r="GZ68" i="6"/>
  <c r="CP27" i="1"/>
  <c r="O27" i="1" s="1"/>
  <c r="CG53" i="1"/>
  <c r="CG22" i="1" s="1"/>
  <c r="HB70" i="6"/>
  <c r="GQ70" i="6"/>
  <c r="I70" i="6"/>
  <c r="GP70" i="6"/>
  <c r="GS70" i="6"/>
  <c r="GN70" i="6"/>
  <c r="GJ70" i="6"/>
  <c r="R72" i="6"/>
  <c r="I65" i="6"/>
  <c r="GJ65" i="6"/>
  <c r="HC65" i="6"/>
  <c r="GK65" i="6"/>
  <c r="HC67" i="6"/>
  <c r="GY67" i="6"/>
  <c r="I67" i="6"/>
  <c r="CZ27" i="1"/>
  <c r="Y27" i="1" s="1"/>
  <c r="CP44" i="1"/>
  <c r="O44" i="1" s="1"/>
  <c r="K65" i="6"/>
  <c r="CI53" i="1"/>
  <c r="AZ53" i="1" s="1"/>
  <c r="AQ53" i="1"/>
  <c r="AQ22" i="1" s="1"/>
  <c r="GA53" i="1"/>
  <c r="GA22" i="1" s="1"/>
  <c r="CP42" i="1"/>
  <c r="O42" i="1" s="1"/>
  <c r="EH53" i="1"/>
  <c r="AI53" i="1"/>
  <c r="AI22" i="1" s="1"/>
  <c r="EB53" i="1"/>
  <c r="EB22" i="1" s="1"/>
  <c r="EA53" i="1"/>
  <c r="DN53" i="1" s="1"/>
  <c r="GB53" i="1"/>
  <c r="ES53" i="1" s="1"/>
  <c r="CZ29" i="1"/>
  <c r="Y29" i="1" s="1"/>
  <c r="CZ30" i="1"/>
  <c r="Y30" i="1" s="1"/>
  <c r="CY37" i="1"/>
  <c r="X37" i="1" s="1"/>
  <c r="CZ33" i="1"/>
  <c r="Y33" i="1" s="1"/>
  <c r="GM33" i="1" s="1"/>
  <c r="CY35" i="1"/>
  <c r="X35" i="1" s="1"/>
  <c r="CP31" i="1"/>
  <c r="O31" i="1" s="1"/>
  <c r="U55" i="6"/>
  <c r="K55" i="6" s="1"/>
  <c r="K47" i="6"/>
  <c r="HB59" i="6"/>
  <c r="GQ59" i="6"/>
  <c r="I59" i="6"/>
  <c r="GP59" i="6"/>
  <c r="GN59" i="6"/>
  <c r="GS59" i="6"/>
  <c r="GJ59" i="6"/>
  <c r="DZ53" i="1"/>
  <c r="DM53" i="1" s="1"/>
  <c r="CZ25" i="1"/>
  <c r="Y25" i="1" s="1"/>
  <c r="U49" i="6" s="1"/>
  <c r="K49" i="6" s="1"/>
  <c r="CZ34" i="1"/>
  <c r="Y34" i="1" s="1"/>
  <c r="HB55" i="6"/>
  <c r="GQ55" i="6"/>
  <c r="I55" i="6"/>
  <c r="GP55" i="6"/>
  <c r="GN55" i="6"/>
  <c r="GS55" i="6"/>
  <c r="GJ55" i="6"/>
  <c r="GZ49" i="6"/>
  <c r="I49" i="6"/>
  <c r="HC49" i="6"/>
  <c r="HB57" i="6"/>
  <c r="GQ57" i="6"/>
  <c r="I57" i="6"/>
  <c r="GJ57" i="6"/>
  <c r="GP57" i="6"/>
  <c r="GN57" i="6"/>
  <c r="GS57" i="6"/>
  <c r="CP37" i="1"/>
  <c r="O37" i="1" s="1"/>
  <c r="CP25" i="1"/>
  <c r="O25" i="1" s="1"/>
  <c r="HB51" i="6"/>
  <c r="GQ51" i="6"/>
  <c r="I51" i="6"/>
  <c r="GP51" i="6"/>
  <c r="GN51" i="6"/>
  <c r="GS51" i="6"/>
  <c r="GJ51" i="6"/>
  <c r="AG53" i="1"/>
  <c r="AG22" i="1" s="1"/>
  <c r="HB53" i="6"/>
  <c r="GQ53" i="6"/>
  <c r="I53" i="6"/>
  <c r="GP53" i="6"/>
  <c r="GN53" i="6"/>
  <c r="GS53" i="6"/>
  <c r="GJ53" i="6"/>
  <c r="R63" i="6"/>
  <c r="GJ47" i="6"/>
  <c r="I47" i="6"/>
  <c r="GK47" i="6"/>
  <c r="EW85" i="6" s="1"/>
  <c r="HC47" i="6"/>
  <c r="I48" i="6"/>
  <c r="HC48" i="6"/>
  <c r="GY48" i="6"/>
  <c r="FK85" i="6" s="1"/>
  <c r="H93" i="6" s="1"/>
  <c r="HB61" i="6"/>
  <c r="GQ61" i="6"/>
  <c r="I61" i="6"/>
  <c r="GP61" i="6"/>
  <c r="GN61" i="6"/>
  <c r="GS61" i="6"/>
  <c r="GJ61" i="6"/>
  <c r="EP53" i="1"/>
  <c r="CY34" i="1"/>
  <c r="X34" i="1" s="1"/>
  <c r="CP35" i="1"/>
  <c r="O35" i="1" s="1"/>
  <c r="CP29" i="1"/>
  <c r="O29" i="1" s="1"/>
  <c r="CJ53" i="1"/>
  <c r="CP32" i="1"/>
  <c r="O32" i="1" s="1"/>
  <c r="GN32" i="1" s="1"/>
  <c r="CP26" i="1"/>
  <c r="O26" i="1" s="1"/>
  <c r="GO46" i="1"/>
  <c r="GM46" i="1"/>
  <c r="GP51" i="1"/>
  <c r="FV53" i="1" s="1"/>
  <c r="GM51" i="1"/>
  <c r="CY26" i="1"/>
  <c r="X26" i="1" s="1"/>
  <c r="CP30" i="1"/>
  <c r="O30" i="1" s="1"/>
  <c r="AC53" i="1"/>
  <c r="GK43" i="1"/>
  <c r="CY43" i="1"/>
  <c r="X43" i="1" s="1"/>
  <c r="EG22" i="1"/>
  <c r="P57" i="1"/>
  <c r="EG82" i="1"/>
  <c r="GM50" i="1"/>
  <c r="GP50" i="1"/>
  <c r="CD53" i="1" s="1"/>
  <c r="AB28" i="1"/>
  <c r="BB22" i="1"/>
  <c r="F66" i="1"/>
  <c r="BB82" i="1"/>
  <c r="AB43" i="1"/>
  <c r="CR43" i="1"/>
  <c r="Q43" i="1" s="1"/>
  <c r="CP43" i="1" s="1"/>
  <c r="O43" i="1" s="1"/>
  <c r="EI22" i="1"/>
  <c r="P63" i="1"/>
  <c r="AO22" i="1"/>
  <c r="F57" i="1"/>
  <c r="AO82" i="1"/>
  <c r="CZ43" i="1"/>
  <c r="Y43" i="1" s="1"/>
  <c r="GK24" i="1"/>
  <c r="AE53" i="1"/>
  <c r="CZ28" i="1"/>
  <c r="Y28" i="1" s="1"/>
  <c r="AD53" i="1"/>
  <c r="GM38" i="1"/>
  <c r="GO38" i="1"/>
  <c r="GM44" i="1"/>
  <c r="CY42" i="1"/>
  <c r="X42" i="1" s="1"/>
  <c r="CZ42" i="1"/>
  <c r="Y42" i="1" s="1"/>
  <c r="AF53" i="1"/>
  <c r="AB34" i="1"/>
  <c r="EU22" i="1"/>
  <c r="P69" i="1"/>
  <c r="EU82" i="1"/>
  <c r="CZ24" i="1"/>
  <c r="Y24" i="1" s="1"/>
  <c r="CP24" i="1"/>
  <c r="O24" i="1" s="1"/>
  <c r="CZ26" i="1"/>
  <c r="Y26" i="1" s="1"/>
  <c r="CP34" i="1"/>
  <c r="O34" i="1" s="1"/>
  <c r="GK39" i="1"/>
  <c r="DW53" i="1"/>
  <c r="CY39" i="1"/>
  <c r="X39" i="1" s="1"/>
  <c r="BC22" i="1"/>
  <c r="F69" i="1"/>
  <c r="BC82" i="1"/>
  <c r="CY28" i="1"/>
  <c r="X28" i="1" s="1"/>
  <c r="AB30" i="1"/>
  <c r="DU53" i="1"/>
  <c r="CP41" i="1"/>
  <c r="O41" i="1" s="1"/>
  <c r="AB44" i="1"/>
  <c r="ET22" i="1"/>
  <c r="ET82" i="1"/>
  <c r="P66" i="1"/>
  <c r="ER53" i="1" l="1"/>
  <c r="DK85" i="6" s="1"/>
  <c r="DO53" i="1"/>
  <c r="DM85" i="6" s="1"/>
  <c r="EI82" i="1"/>
  <c r="GM49" i="1"/>
  <c r="GO47" i="1"/>
  <c r="GM47" i="1"/>
  <c r="DL53" i="1"/>
  <c r="DL85" i="6" s="1"/>
  <c r="GN48" i="1"/>
  <c r="V53" i="1"/>
  <c r="F76" i="1" s="1"/>
  <c r="S78" i="6"/>
  <c r="J78" i="6" s="1"/>
  <c r="ES22" i="1"/>
  <c r="DW85" i="6"/>
  <c r="EU85" i="6"/>
  <c r="CX85" i="6"/>
  <c r="ET85" i="6"/>
  <c r="I39" i="6" s="1"/>
  <c r="CW85" i="6"/>
  <c r="J39" i="6" s="1"/>
  <c r="FB85" i="6"/>
  <c r="AJ22" i="1"/>
  <c r="EV85" i="6"/>
  <c r="H87" i="6" s="1"/>
  <c r="FN85" i="6"/>
  <c r="H97" i="6" s="1"/>
  <c r="FL85" i="6"/>
  <c r="H94" i="6" s="1"/>
  <c r="FC85" i="6"/>
  <c r="FE85" i="6"/>
  <c r="I40" i="6"/>
  <c r="H89" i="6"/>
  <c r="P85" i="6"/>
  <c r="FO85" i="6"/>
  <c r="H98" i="6" s="1"/>
  <c r="GM45" i="1"/>
  <c r="GN49" i="1"/>
  <c r="GM48" i="1"/>
  <c r="AX53" i="1"/>
  <c r="F60" i="1" s="1"/>
  <c r="EP82" i="1"/>
  <c r="EP18" i="1" s="1"/>
  <c r="DG85" i="6"/>
  <c r="EH82" i="1"/>
  <c r="P91" i="1" s="1"/>
  <c r="DS85" i="6"/>
  <c r="J99" i="6" s="1"/>
  <c r="DI85" i="6"/>
  <c r="GM36" i="1"/>
  <c r="AQ82" i="1"/>
  <c r="AQ18" i="1" s="1"/>
  <c r="F62" i="1"/>
  <c r="G16" i="2" s="1"/>
  <c r="G18" i="2" s="1"/>
  <c r="GM31" i="1"/>
  <c r="HA84" i="6"/>
  <c r="H84" i="6"/>
  <c r="GM37" i="1"/>
  <c r="GN36" i="1"/>
  <c r="AP82" i="1"/>
  <c r="AP18" i="1" s="1"/>
  <c r="EA22" i="1"/>
  <c r="GN29" i="1"/>
  <c r="GM40" i="1"/>
  <c r="GN45" i="1"/>
  <c r="EP22" i="1"/>
  <c r="ED53" i="1"/>
  <c r="DQ53" i="1" s="1"/>
  <c r="DO85" i="6" s="1"/>
  <c r="J94" i="6" s="1"/>
  <c r="F63" i="1"/>
  <c r="CI22" i="1"/>
  <c r="GN35" i="1"/>
  <c r="GN37" i="1"/>
  <c r="P62" i="1"/>
  <c r="V16" i="2" s="1"/>
  <c r="V18" i="2" s="1"/>
  <c r="GO25" i="1"/>
  <c r="HA78" i="6"/>
  <c r="H78" i="6"/>
  <c r="AH22" i="1"/>
  <c r="DK53" i="1"/>
  <c r="ES82" i="1"/>
  <c r="ES18" i="1" s="1"/>
  <c r="P60" i="1"/>
  <c r="T53" i="1"/>
  <c r="T22" i="1" s="1"/>
  <c r="GN31" i="1"/>
  <c r="GM27" i="1"/>
  <c r="GM42" i="1"/>
  <c r="GM39" i="1"/>
  <c r="U67" i="6"/>
  <c r="S63" i="6"/>
  <c r="J63" i="6" s="1"/>
  <c r="GN27" i="1"/>
  <c r="P73" i="1"/>
  <c r="HA72" i="6"/>
  <c r="H72" i="6"/>
  <c r="EH22" i="1"/>
  <c r="GN33" i="1"/>
  <c r="GM32" i="1"/>
  <c r="DZ22" i="1"/>
  <c r="GB22" i="1"/>
  <c r="GM25" i="1"/>
  <c r="HA63" i="6"/>
  <c r="H63" i="6"/>
  <c r="AL53" i="1"/>
  <c r="AL22" i="1" s="1"/>
  <c r="GM35" i="1"/>
  <c r="GM29" i="1"/>
  <c r="GN28" i="1"/>
  <c r="CJ22" i="1"/>
  <c r="BA53" i="1"/>
  <c r="DU22" i="1"/>
  <c r="FW53" i="1"/>
  <c r="DH53" i="1"/>
  <c r="DC85" i="6" s="1"/>
  <c r="J91" i="6" s="1"/>
  <c r="FZ53" i="1"/>
  <c r="FX53" i="1"/>
  <c r="GN34" i="1"/>
  <c r="GM34" i="1"/>
  <c r="EU18" i="1"/>
  <c r="P98" i="1"/>
  <c r="AF22" i="1"/>
  <c r="S53" i="1"/>
  <c r="AE22" i="1"/>
  <c r="R53" i="1"/>
  <c r="GO39" i="1"/>
  <c r="EG18" i="1"/>
  <c r="P86" i="1"/>
  <c r="GN30" i="1"/>
  <c r="GM30" i="1"/>
  <c r="FV22" i="1"/>
  <c r="EM53" i="1"/>
  <c r="DT85" i="6" s="1"/>
  <c r="J100" i="6" s="1"/>
  <c r="GM28" i="1"/>
  <c r="DW22" i="1"/>
  <c r="DJ53" i="1"/>
  <c r="DB85" i="6" s="1"/>
  <c r="AO18" i="1"/>
  <c r="F86" i="1"/>
  <c r="GN43" i="1"/>
  <c r="GM43" i="1"/>
  <c r="BB18" i="1"/>
  <c r="F95" i="1"/>
  <c r="DM22" i="1"/>
  <c r="DM82" i="1"/>
  <c r="P75" i="1"/>
  <c r="AZ22" i="1"/>
  <c r="F64" i="1"/>
  <c r="AZ82" i="1"/>
  <c r="GM26" i="1"/>
  <c r="GN26" i="1"/>
  <c r="GN42" i="1"/>
  <c r="ET18" i="1"/>
  <c r="P95" i="1"/>
  <c r="W22" i="1"/>
  <c r="F77" i="1"/>
  <c r="W82" i="1"/>
  <c r="GO24" i="1"/>
  <c r="CC53" i="1" s="1"/>
  <c r="GM24" i="1"/>
  <c r="AB53" i="1"/>
  <c r="AD22" i="1"/>
  <c r="Q53" i="1"/>
  <c r="EI18" i="1"/>
  <c r="P92" i="1"/>
  <c r="CD22" i="1"/>
  <c r="AU53" i="1"/>
  <c r="DV53" i="1"/>
  <c r="GM41" i="1"/>
  <c r="GN41" i="1"/>
  <c r="BC18" i="1"/>
  <c r="F98" i="1"/>
  <c r="EC53" i="1"/>
  <c r="DT53" i="1"/>
  <c r="DN22" i="1"/>
  <c r="P76" i="1"/>
  <c r="DN82" i="1"/>
  <c r="U22" i="1"/>
  <c r="F75" i="1"/>
  <c r="U82" i="1"/>
  <c r="ER22" i="1"/>
  <c r="P64" i="1"/>
  <c r="ER82" i="1"/>
  <c r="DO22" i="1"/>
  <c r="DO82" i="1"/>
  <c r="P77" i="1"/>
  <c r="DL22" i="1"/>
  <c r="AC22" i="1"/>
  <c r="CH53" i="1"/>
  <c r="CE53" i="1"/>
  <c r="P53" i="1"/>
  <c r="CF53" i="1"/>
  <c r="AK53" i="1"/>
  <c r="V82" i="1" l="1"/>
  <c r="V22" i="1"/>
  <c r="AX82" i="1"/>
  <c r="F89" i="1" s="1"/>
  <c r="P74" i="1"/>
  <c r="DL82" i="1"/>
  <c r="DL18" i="1" s="1"/>
  <c r="AX22" i="1"/>
  <c r="P89" i="1"/>
  <c r="DK22" i="1"/>
  <c r="CZ85" i="6"/>
  <c r="F92" i="1"/>
  <c r="FM85" i="6"/>
  <c r="H95" i="6" s="1"/>
  <c r="H102" i="6" s="1"/>
  <c r="I38" i="6" s="1"/>
  <c r="EH18" i="1"/>
  <c r="FR85" i="6"/>
  <c r="F91" i="1"/>
  <c r="T82" i="1"/>
  <c r="F103" i="1" s="1"/>
  <c r="DK82" i="1"/>
  <c r="P97" i="1" s="1"/>
  <c r="ED22" i="1"/>
  <c r="F74" i="1"/>
  <c r="P68" i="1"/>
  <c r="Y16" i="2" s="1"/>
  <c r="Y18" i="2" s="1"/>
  <c r="FU53" i="1"/>
  <c r="FU22" i="1" s="1"/>
  <c r="P102" i="1"/>
  <c r="FS53" i="1"/>
  <c r="FS22" i="1" s="1"/>
  <c r="CA53" i="1"/>
  <c r="AR53" i="1" s="1"/>
  <c r="G8" i="1" s="1"/>
  <c r="FT53" i="1"/>
  <c r="EK53" i="1" s="1"/>
  <c r="K67" i="6"/>
  <c r="S72" i="6"/>
  <c r="CB53" i="1"/>
  <c r="CB22" i="1" s="1"/>
  <c r="Y53" i="1"/>
  <c r="Y82" i="1" s="1"/>
  <c r="BA82" i="1"/>
  <c r="BA22" i="1"/>
  <c r="F73" i="1"/>
  <c r="AK22" i="1"/>
  <c r="X53" i="1"/>
  <c r="CC22" i="1"/>
  <c r="AT53" i="1"/>
  <c r="P22" i="1"/>
  <c r="P82" i="1"/>
  <c r="F56" i="1"/>
  <c r="ER18" i="1"/>
  <c r="P93" i="1"/>
  <c r="DV22" i="1"/>
  <c r="DI53" i="1"/>
  <c r="DA85" i="6" s="1"/>
  <c r="J90" i="6" s="1"/>
  <c r="W18" i="1"/>
  <c r="F106" i="1"/>
  <c r="FX22" i="1"/>
  <c r="EO53" i="1"/>
  <c r="DF85" i="6" s="1"/>
  <c r="AB22" i="1"/>
  <c r="O53" i="1"/>
  <c r="V18" i="1"/>
  <c r="F105" i="1"/>
  <c r="FZ22" i="1"/>
  <c r="EQ53" i="1"/>
  <c r="DH85" i="6" s="1"/>
  <c r="DQ22" i="1"/>
  <c r="P79" i="1"/>
  <c r="DQ82" i="1"/>
  <c r="DT22" i="1"/>
  <c r="DG53" i="1"/>
  <c r="CY85" i="6" s="1"/>
  <c r="J87" i="6" s="1"/>
  <c r="EC22" i="1"/>
  <c r="DP53" i="1"/>
  <c r="DN85" i="6" s="1"/>
  <c r="J93" i="6" s="1"/>
  <c r="AX18" i="1"/>
  <c r="R22" i="1"/>
  <c r="F67" i="1"/>
  <c r="R82" i="1"/>
  <c r="S22" i="1"/>
  <c r="F68" i="1"/>
  <c r="J16" i="2" s="1"/>
  <c r="J18" i="2" s="1"/>
  <c r="S82" i="1"/>
  <c r="DH22" i="1"/>
  <c r="DH82" i="1"/>
  <c r="P56" i="1"/>
  <c r="CE22" i="1"/>
  <c r="AV53" i="1"/>
  <c r="CH22" i="1"/>
  <c r="AY53" i="1"/>
  <c r="DO18" i="1"/>
  <c r="P106" i="1"/>
  <c r="DN18" i="1"/>
  <c r="P105" i="1"/>
  <c r="CF22" i="1"/>
  <c r="AW53" i="1"/>
  <c r="U18" i="1"/>
  <c r="F104" i="1"/>
  <c r="AU22" i="1"/>
  <c r="AU82" i="1"/>
  <c r="F72" i="1"/>
  <c r="Q22" i="1"/>
  <c r="F65" i="1"/>
  <c r="Q82" i="1"/>
  <c r="AZ18" i="1"/>
  <c r="F93" i="1"/>
  <c r="DM18" i="1"/>
  <c r="P104" i="1"/>
  <c r="DJ22" i="1"/>
  <c r="P67" i="1"/>
  <c r="DJ82" i="1"/>
  <c r="EM22" i="1"/>
  <c r="EM82" i="1"/>
  <c r="P72" i="1"/>
  <c r="W16" i="2" s="1"/>
  <c r="W18" i="2" s="1"/>
  <c r="FW22" i="1"/>
  <c r="EN53" i="1"/>
  <c r="DE85" i="6" s="1"/>
  <c r="T18" i="1" l="1"/>
  <c r="DK18" i="1"/>
  <c r="P103" i="1"/>
  <c r="EL53" i="1"/>
  <c r="DR85" i="6" s="1"/>
  <c r="J98" i="6" s="1"/>
  <c r="H85" i="6"/>
  <c r="J89" i="6"/>
  <c r="J40" i="6"/>
  <c r="J72" i="6"/>
  <c r="Q85" i="6"/>
  <c r="DQ85" i="6"/>
  <c r="J97" i="6" s="1"/>
  <c r="CA22" i="1"/>
  <c r="EJ53" i="1"/>
  <c r="DP85" i="6" s="1"/>
  <c r="F79" i="1"/>
  <c r="FT22" i="1"/>
  <c r="Y22" i="1"/>
  <c r="H16" i="2"/>
  <c r="H18" i="2" s="1"/>
  <c r="AS53" i="1"/>
  <c r="AS22" i="1" s="1"/>
  <c r="BA18" i="1"/>
  <c r="F102" i="1"/>
  <c r="Y18" i="1"/>
  <c r="F108" i="1"/>
  <c r="S18" i="1"/>
  <c r="F97" i="1"/>
  <c r="AR22" i="1"/>
  <c r="F80" i="1"/>
  <c r="AR82" i="1"/>
  <c r="DQ18" i="1"/>
  <c r="P108" i="1"/>
  <c r="AT22" i="1"/>
  <c r="F71" i="1"/>
  <c r="F16" i="2" s="1"/>
  <c r="F18" i="2" s="1"/>
  <c r="AT82" i="1"/>
  <c r="EK22" i="1"/>
  <c r="EK82" i="1"/>
  <c r="P70" i="1"/>
  <c r="T16" i="2" s="1"/>
  <c r="DJ18" i="1"/>
  <c r="P96" i="1"/>
  <c r="EO22" i="1"/>
  <c r="P59" i="1"/>
  <c r="EO82" i="1"/>
  <c r="DI22" i="1"/>
  <c r="DI82" i="1"/>
  <c r="P65" i="1"/>
  <c r="EN22" i="1"/>
  <c r="EN82" i="1"/>
  <c r="P58" i="1"/>
  <c r="AU18" i="1"/>
  <c r="F101" i="1"/>
  <c r="DH18" i="1"/>
  <c r="P85" i="1"/>
  <c r="DP22" i="1"/>
  <c r="DP82" i="1"/>
  <c r="P78" i="1"/>
  <c r="DG22" i="1"/>
  <c r="P55" i="1"/>
  <c r="DG82" i="1"/>
  <c r="P18" i="1"/>
  <c r="F85" i="1"/>
  <c r="X22" i="1"/>
  <c r="F78" i="1"/>
  <c r="X82" i="1"/>
  <c r="AY22" i="1"/>
  <c r="F61" i="1"/>
  <c r="AY82" i="1"/>
  <c r="Q18" i="1"/>
  <c r="F94" i="1"/>
  <c r="EM18" i="1"/>
  <c r="P101" i="1"/>
  <c r="AW22" i="1"/>
  <c r="F59" i="1"/>
  <c r="AW82" i="1"/>
  <c r="AV22" i="1"/>
  <c r="F58" i="1"/>
  <c r="AV82" i="1"/>
  <c r="R18" i="1"/>
  <c r="F96" i="1"/>
  <c r="EQ22" i="1"/>
  <c r="EQ82" i="1"/>
  <c r="P61" i="1"/>
  <c r="O22" i="1"/>
  <c r="F55" i="1"/>
  <c r="O82" i="1"/>
  <c r="EJ22" i="1" l="1"/>
  <c r="EL82" i="1"/>
  <c r="P100" i="1" s="1"/>
  <c r="P71" i="1"/>
  <c r="U16" i="2" s="1"/>
  <c r="U18" i="2" s="1"/>
  <c r="EJ82" i="1"/>
  <c r="P109" i="1" s="1"/>
  <c r="EL22" i="1"/>
  <c r="DU85" i="6"/>
  <c r="P80" i="1"/>
  <c r="J85" i="6"/>
  <c r="J95" i="6"/>
  <c r="J102" i="6" s="1"/>
  <c r="F70" i="1"/>
  <c r="E16" i="2" s="1"/>
  <c r="I16" i="2" s="1"/>
  <c r="I18" i="2" s="1"/>
  <c r="AS82" i="1"/>
  <c r="AS18" i="1" s="1"/>
  <c r="AW18" i="1"/>
  <c r="F88" i="1"/>
  <c r="DI18" i="1"/>
  <c r="P94" i="1"/>
  <c r="EL18" i="1"/>
  <c r="AT18" i="1"/>
  <c r="F100" i="1"/>
  <c r="X16" i="2"/>
  <c r="X18" i="2" s="1"/>
  <c r="T18" i="2"/>
  <c r="AR18" i="1"/>
  <c r="F109" i="1"/>
  <c r="O18" i="1"/>
  <c r="F84" i="1"/>
  <c r="X18" i="1"/>
  <c r="F107" i="1"/>
  <c r="DG18" i="1"/>
  <c r="P84" i="1"/>
  <c r="EO18" i="1"/>
  <c r="P88" i="1"/>
  <c r="EK18" i="1"/>
  <c r="P99" i="1"/>
  <c r="EQ18" i="1"/>
  <c r="P90" i="1"/>
  <c r="AV18" i="1"/>
  <c r="F87" i="1"/>
  <c r="EN18" i="1"/>
  <c r="P87" i="1"/>
  <c r="DP18" i="1"/>
  <c r="P107" i="1"/>
  <c r="AY18" i="1"/>
  <c r="F90" i="1"/>
  <c r="EJ18" i="1"/>
  <c r="F99" i="1" l="1"/>
  <c r="J38" i="6"/>
  <c r="J103" i="6"/>
  <c r="J104" i="6" s="1"/>
  <c r="E26" i="6"/>
  <c r="E18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<sst xmlns="http://schemas.openxmlformats.org/spreadsheetml/2006/main" count="2089" uniqueCount="335">
  <si>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</si>
  <si>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</si>
  <si>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</si>
  <si>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</si>
  <si>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</si>
  <si>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СКС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</si>
  <si>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</si>
  <si>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</si>
  <si>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</si>
  <si>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</si>
  <si>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</si>
  <si>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</si>
  <si>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</si>
  <si>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</si>
  <si>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</si>
  <si>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м11-03-001-01</t>
  </si>
  <si>
    <t>Приборы, устанавливаемые на металлоконструкциях, щитах и пультах, масса до 5 кг</t>
  </si>
  <si>
    <t>ШТ</t>
  </si>
  <si>
    <t>ФЕРм-2001, м11-03-001-01, приказ Минстроя России №1039/пр от 30.12.2016г.</t>
  </si>
  <si>
    <t>Поправка: Прил.2, Табл.1, п. 7  Наименование: Производство работ осуществляется в помещениях высотой до 1,8 м</t>
  </si>
  <si>
    <t>)*1,35</t>
  </si>
  <si>
    <t>Монтажные работы</t>
  </si>
  <si>
    <t>Автоматика  ( кроме микропроцессорной техники )</t>
  </si>
  <si>
    <t>ФЕРм-11</t>
  </si>
  <si>
    <t>Поправка: Прил.2, Табл.1, п. 7</t>
  </si>
  <si>
    <t>*0,85</t>
  </si>
  <si>
    <t>*0,8</t>
  </si>
  <si>
    <t>1,1</t>
  </si>
  <si>
    <t>Накладная</t>
  </si>
  <si>
    <t>Коммутатор управляемый hp/3com 48 портов</t>
  </si>
  <si>
    <t>шт.</t>
  </si>
  <si>
    <t>Материалы ( строительные )</t>
  </si>
  <si>
    <t>Строка добавленная вручную</t>
  </si>
  <si>
    <t>По умолчанию</t>
  </si>
  <si>
    <t>[49 633 /  7,5]</t>
  </si>
  <si>
    <t>1,2</t>
  </si>
  <si>
    <t>Сетевое хранилище QNAP TS-853 BU-RP-8G</t>
  </si>
  <si>
    <t>[191 822,03 /  7,5]</t>
  </si>
  <si>
    <t>1,3</t>
  </si>
  <si>
    <t>Коммутатор MikroTik CRS109-8G-1S-2HND-IN</t>
  </si>
  <si>
    <t>[9 250 /  7,5]</t>
  </si>
  <si>
    <t>1,4</t>
  </si>
  <si>
    <t>Диск жесткий 4ТВ WD Gold SATA III 6 Gb/s</t>
  </si>
  <si>
    <t>[12 203,39 /  7,5]</t>
  </si>
  <si>
    <t>1,7</t>
  </si>
  <si>
    <t>Источник беспереб. питания ИБП Powercom Smart-UPS King Pro RM (44640.00)</t>
  </si>
  <si>
    <t>ФССЦ-2001, 01.7.15.03-0031,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</si>
  <si>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</si>
  <si>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</si>
  <si>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[44 640 /  7,5]</t>
  </si>
  <si>
    <t>1,8</t>
  </si>
  <si>
    <t>Модуль вентиляторный 19", 9 вентиляторов</t>
  </si>
  <si>
    <t>[9 277 /  7,5]</t>
  </si>
  <si>
    <t>2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</si>
  <si>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</si>
  <si>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</si>
  <si>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</si>
  <si>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</si>
  <si>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2,1</t>
  </si>
  <si>
    <t>Кабель UTP 4 cat. 5е 4 пары</t>
  </si>
  <si>
    <t>м</t>
  </si>
  <si>
    <t>ФССЦ-2001, 01.7.19.04-0031, приказ Минстроя России №1039/пр от 30.12.2016г.</t>
  </si>
  <si>
    <t>[19,76 /  7,5]</t>
  </si>
  <si>
    <t>2,2</t>
  </si>
  <si>
    <t>25.2.01.01-0017</t>
  </si>
  <si>
    <t>Бирки маркировочные пластмассовые</t>
  </si>
  <si>
    <t>100 шт.</t>
  </si>
  <si>
    <t>ФССЦ-2001, 25.2.01.01-0017, приказ Минстроя России №1039/пр от 30.12.2016г.</t>
  </si>
  <si>
    <t>2,3</t>
  </si>
  <si>
    <t>999-9950</t>
  </si>
  <si>
    <t>Вспомогательные ненормируемые материалы (2% от ОЗП)</t>
  </si>
  <si>
    <t>РУБ</t>
  </si>
  <si>
    <t>3</t>
  </si>
  <si>
    <t>м08-02-144-01</t>
  </si>
  <si>
    <t>Присоединение к зажимам жил проводов или кабелей сечением до 2,5 мм2</t>
  </si>
  <si>
    <t>100 ШТ</t>
  </si>
  <si>
    <t>ФЕРм-2001, м08-02-144-01, приказ Минстроя России №1039/пр от 30.12.2016г.</t>
  </si>
  <si>
    <t>Электромонтажные работы  (ФЕРм-08, отдел 01-03)</t>
  </si>
  <si>
    <t>ФЕРм-08</t>
  </si>
  <si>
    <t>3,1</t>
  </si>
  <si>
    <t>4</t>
  </si>
  <si>
    <t>п02-01-001-03</t>
  </si>
  <si>
    <t>Автоматизированная система управления I категории технической сложности с количеством каналов (Кобщ) 10</t>
  </si>
  <si>
    <t>система</t>
  </si>
  <si>
    <t>ФЕРп-2001, п02-01-001-03,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</si>
  <si>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</si>
  <si>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</si>
  <si>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</si>
  <si>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</si>
  <si>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</si>
  <si>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</si>
  <si>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</si>
  <si>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</si>
  <si>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</si>
  <si>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</si>
  <si>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</si>
  <si>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</si>
  <si>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</si>
  <si>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</si>
  <si>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</si>
  <si>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</si>
  <si>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</si>
  <si>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</si>
  <si>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</si>
  <si>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</si>
  <si>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</si>
  <si>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</si>
  <si>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</si>
  <si>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</si>
  <si>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</si>
  <si>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</si>
  <si>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</si>
  <si>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</si>
  <si>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</si>
  <si>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</si>
  <si>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</si>
  <si>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</si>
  <si>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</si>
  <si>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</si>
  <si>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</si>
  <si>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</si>
  <si>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</si>
  <si>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</si>
  <si>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</si>
  <si>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</si>
  <si>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</si>
  <si>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</si>
  <si>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</si>
  <si>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</si>
  <si>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</si>
  <si>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</si>
  <si>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</si>
  <si>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</si>
  <si>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</si>
  <si>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</si>
  <si>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</si>
  <si>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</si>
  <si>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</si>
  <si>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</si>
  <si>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</si>
  <si>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</si>
  <si>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</si>
  <si>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</si>
  <si>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</si>
  <si>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</si>
  <si>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</si>
  <si>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</si>
  <si>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</si>
  <si>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</si>
  <si>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</si>
  <si>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</si>
  <si>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</si>
  <si>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</si>
  <si>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</si>
  <si>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</si>
  <si>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</si>
  <si>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</si>
  <si>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</si>
  <si>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</si>
  <si>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</si>
  <si>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</si>
  <si>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</si>
  <si>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</si>
  <si>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</si>
  <si>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</si>
  <si>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</si>
  <si>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</si>
  <si>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</si>
  <si>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</si>
  <si>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</si>
  <si>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</si>
  <si>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</si>
  <si>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</si>
  <si>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</si>
  <si>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</si>
  <si>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</si>
  <si>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</si>
  <si>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</si>
  <si>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</si>
  <si>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</si>
  <si>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</si>
  <si>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</si>
  <si>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</si>
  <si>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</si>
  <si>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</si>
  <si>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</si>
  <si>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</si>
  <si>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</si>
  <si>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</si>
  <si>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</si>
  <si>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</si>
  <si>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</si>
  <si>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</si>
  <si>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</si>
  <si>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</si>
  <si>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</si>
  <si>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</si>
  <si>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</si>
  <si>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</si>
  <si>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</si>
  <si>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</si>
  <si>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</si>
  <si>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</si>
  <si>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1-100-42</t>
  </si>
  <si>
    <t>Рабочий среднего разряда 4.2</t>
  </si>
  <si>
    <t>чел.-ч.</t>
  </si>
  <si>
    <t>1-100-50</t>
  </si>
  <si>
    <t>Рабочий среднего разряда 5</t>
  </si>
  <si>
    <t>1-100-40</t>
  </si>
  <si>
    <t>Рабочий среднего разряда 4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</si>
  <si>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</si>
  <si>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</si>
  <si>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</si>
  <si>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</si>
  <si>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</si>
  <si>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</si>
  <si>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</si>
  <si>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</si>
  <si>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</si>
  <si>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</si>
  <si>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01.7.15.03-0031</t>
  </si>
  <si>
    <t>Болты с гайками и шайбами оцинкованные, диаметр 6 мм</t>
  </si>
  <si>
    <t>кг</t>
  </si>
  <si>
    <t>01.7.19.04-0031</t>
  </si>
  <si>
    <t>Прокладки резиновые (пластина техническая прессованная)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</si>
  <si>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</si>
  <si>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</si>
  <si>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</si>
  <si>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</si>
  <si>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</si>
  <si>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</si>
  <si>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</si>
  <si>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</si>
  <si>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</si>
  <si>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</si>
  <si>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</si>
  <si>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</si>
  <si>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</si>
  <si>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</si>
  <si>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</si>
  <si>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</si>
  <si>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</si>
  <si>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</si>
  <si>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</si>
  <si>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</si>
  <si>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</si>
  <si>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</si>
  <si>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</si>
  <si>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</si>
  <si>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</si>
  <si>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</si>
  <si>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</si>
  <si>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</si>
  <si>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</si>
  <si>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</si>
  <si>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</si>
  <si>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</si>
  <si>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</si>
  <si>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</si>
  <si>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</si>
  <si>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</si>
  <si>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</si>
  <si>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</si>
  <si>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</si>
  <si>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</si>
  <si>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</si>
  <si>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</si>
  <si>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</si>
  <si>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</si>
  <si>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</si>
  <si>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</si>
  <si>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</si>
  <si>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</si>
  <si>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</si>
  <si>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</si>
  <si>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</si>
  <si>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</si>
  <si>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</si>
  <si>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</si>
  <si>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</si>
  <si>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</si>
  <si>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</si>
  <si>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</si>
  <si>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</si>
  <si>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</si>
  <si>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</si>
  <si>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</si>
  <si>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*1,35</t>
  </si>
  <si>
    <t xml:space="preserve">   НР от ФОТ</t>
  </si>
  <si>
    <t>%</t>
  </si>
  <si>
    <t>80%*0,85=68%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</si>
  <si>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</si>
  <si>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</si>
  <si>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</si>
  <si>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</si>
  <si>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Расчет цены </t>
  </si>
  <si>
    <t xml:space="preserve">   [49 633 /  7,5] = 6617.73</t>
  </si>
  <si>
    <t xml:space="preserve">   [191 822,03 /  7,5] = 25576.27</t>
  </si>
  <si>
    <t xml:space="preserve">   [9 250 /  7,5] = 1233.33</t>
  </si>
  <si>
    <t xml:space="preserve">   [12 203,39 /  7,5] = 1627.12</t>
  </si>
  <si>
    <t xml:space="preserve">   [44 640 /  7,5] = 5952</t>
  </si>
  <si>
    <t xml:space="preserve">   [9 277 /  7,5] = 1236.93</t>
  </si>
  <si>
    <t xml:space="preserve">   Материальные ресурсы</t>
  </si>
  <si>
    <t xml:space="preserve">   [19,76 /  7,5] = 2.63</t>
  </si>
  <si>
    <t>95%*0,85=81%</t>
  </si>
  <si>
    <t>65%*0,8=52%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</si>
  <si>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</si>
  <si>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</si>
  <si>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</si>
  <si>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</si>
  <si>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</si>
  <si>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</si>
  <si>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</si>
  <si>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</si>
  <si>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</si>
  <si>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</si>
  <si>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</si>
  <si>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</si>
  <si>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</si>
  <si>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</si>
  <si>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</si>
  <si>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</si>
  <si>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</si>
  <si>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</si>
  <si>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</si>
  <si>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</si>
  <si>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</si>
  <si>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</si>
  <si>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</si>
  <si>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</si>
  <si>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</si>
  <si>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</si>
  <si>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</si>
  <si>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Техническое перевооружение  СКС АО «Орелоблэнерго»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</si>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</sst>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right" vertical="top" wrapText="1"/>
    </xf>
    <xf numFmtId="0" fontId="12" fillId="0" borderId="35" xfId="0" applyFont="1" applyBorder="1" applyAlignment="1">
      <alignment horizontal="right" vertical="top" shrinkToFit="1"/>
    </xf>
    <xf numFmtId="0" fontId="12" fillId="0" borderId="35" xfId="0" applyFont="1" applyBorder="1" applyAlignment="1">
      <alignment vertical="top" shrinkToFit="1"/>
    </xf>
    <xf numFmtId="4" fontId="12" fillId="0" borderId="35" xfId="0" applyNumberFormat="1" applyFont="1" applyBorder="1" applyAlignment="1">
      <alignment vertical="top" shrinkToFit="1"/>
    </xf>
    <xf numFmtId="0" fontId="12" fillId="0" borderId="36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2" xfId="0" applyFont="1" applyBorder="1"/>
    <xf numFmtId="0" fontId="12" fillId="0" borderId="33" xfId="0" applyFont="1" applyBorder="1" applyAlignment="1">
      <alignment horizontal="left" vertical="top"/>
    </xf>
    <xf numFmtId="0" fontId="11" fillId="0" borderId="33" xfId="0" applyFont="1" applyBorder="1"/>
    <xf numFmtId="0" fontId="11" fillId="0" borderId="34" xfId="0" applyFont="1" applyBorder="1"/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4" fontId="11" fillId="0" borderId="0" xfId="0" applyNumberFormat="1" applyFont="1"/>
    <xf numFmtId="0" fontId="25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3" fontId="18" fillId="0" borderId="0" xfId="0" applyNumberFormat="1" applyFont="1" applyAlignment="1">
      <alignment shrinkToFit="1"/>
    </xf>
    <xf numFmtId="3" fontId="11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/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" fontId="21" fillId="0" borderId="6" xfId="0" applyNumberFormat="1" applyFont="1" applyBorder="1" applyAlignment="1">
      <alignment horizontal="right" shrinkToFit="1"/>
    </xf>
    <xf numFmtId="165" fontId="21" fillId="0" borderId="6" xfId="0" applyNumberFormat="1" applyFont="1" applyBorder="1" applyAlignment="1">
      <alignment horizontal="right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25"/>
  <sheetViews>
    <sheetView tabSelected="1" topLeftCell="A82" zoomScale="151" zoomScaleNormal="151" workbookViewId="0">
      <selection activeCell="K115" sqref="K115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230</v>
      </c>
    </row>
    <row r="2" spans="1:255" hidden="1" outlineLevel="1" x14ac:dyDescent="0.2">
      <c r="H2" s="158" t="s">
        <v>231</v>
      </c>
      <c r="I2" s="158"/>
      <c r="J2" s="158"/>
      <c r="K2" s="158"/>
    </row>
    <row r="3" spans="1:255" hidden="1" outlineLevel="1" x14ac:dyDescent="0.2">
      <c r="H3" s="158" t="s">
        <v>232</v>
      </c>
      <c r="I3" s="158"/>
      <c r="J3" s="158"/>
      <c r="K3" s="158"/>
    </row>
    <row r="4" spans="1:255" hidden="1" outlineLevel="1" x14ac:dyDescent="0.2">
      <c r="H4" s="158" t="s">
        <v>233</v>
      </c>
      <c r="I4" s="158"/>
      <c r="J4" s="158"/>
      <c r="K4" s="158"/>
    </row>
    <row r="5" spans="1:255" s="12" customFormat="1" ht="11.25" hidden="1" outlineLevel="1" x14ac:dyDescent="0.2">
      <c r="J5" s="159" t="s">
        <v>234</v>
      </c>
      <c r="K5" s="153"/>
    </row>
    <row r="6" spans="1:255" s="14" customFormat="1" ht="9.75" hidden="1" outlineLevel="1" x14ac:dyDescent="0.2">
      <c r="I6" s="15" t="s">
        <v>235</v>
      </c>
      <c r="J6" s="160" t="s">
        <v>236</v>
      </c>
      <c r="K6" s="161"/>
    </row>
    <row r="7" spans="1:255" hidden="1" outlineLevel="1" x14ac:dyDescent="0.2">
      <c r="A7" s="17" t="s">
        <v>237</v>
      </c>
      <c r="B7" s="16"/>
      <c r="C7" s="162"/>
      <c r="D7" s="163"/>
      <c r="E7" s="163"/>
      <c r="F7" s="163"/>
      <c r="G7" s="163"/>
      <c r="I7" s="15" t="s">
        <v>238</v>
      </c>
      <c r="J7" s="152"/>
      <c r="K7" s="157"/>
      <c r="BR7" s="18">
        <f>C7</f>
        <v>0</v>
      </c>
      <c r="IU7" s="19"/>
    </row>
    <row r="8" spans="1:255" hidden="1" outlineLevel="1" x14ac:dyDescent="0.2">
      <c r="A8" s="17" t="s">
        <v>239</v>
      </c>
      <c r="B8" s="16"/>
      <c r="C8" s="156"/>
      <c r="D8" s="151"/>
      <c r="E8" s="151"/>
      <c r="F8" s="151"/>
      <c r="G8" s="151"/>
      <c r="I8" s="15" t="s">
        <v>238</v>
      </c>
      <c r="J8" s="152"/>
      <c r="K8" s="157"/>
      <c r="BR8" s="18">
        <f>C8</f>
        <v>0</v>
      </c>
      <c r="IU8" s="19"/>
    </row>
    <row r="9" spans="1:255" hidden="1" outlineLevel="1" x14ac:dyDescent="0.2">
      <c r="A9" s="17" t="s">
        <v>240</v>
      </c>
      <c r="B9" s="16"/>
      <c r="C9" s="156"/>
      <c r="D9" s="151"/>
      <c r="E9" s="151"/>
      <c r="F9" s="151"/>
      <c r="G9" s="151"/>
      <c r="I9" s="15" t="s">
        <v>238</v>
      </c>
      <c r="J9" s="152"/>
      <c r="K9" s="157"/>
      <c r="BR9" s="18">
        <f>C9</f>
        <v>0</v>
      </c>
      <c r="IU9" s="19"/>
    </row>
    <row r="10" spans="1:255" hidden="1" outlineLevel="1" x14ac:dyDescent="0.2">
      <c r="A10" s="17" t="s">
        <v>241</v>
      </c>
      <c r="B10" s="16"/>
      <c r="C10" s="156"/>
      <c r="D10" s="151"/>
      <c r="E10" s="151"/>
      <c r="F10" s="151"/>
      <c r="G10" s="151"/>
      <c r="I10" s="15" t="s">
        <v>238</v>
      </c>
      <c r="J10" s="152"/>
      <c r="K10" s="157"/>
      <c r="BR10" s="18">
        <f>C10</f>
        <v>0</v>
      </c>
      <c r="IU10" s="19"/>
    </row>
    <row r="11" spans="1:255" hidden="1" outlineLevel="1" x14ac:dyDescent="0.2">
      <c r="A11" s="17" t="s">
        <v>242</v>
      </c>
      <c r="C11" s="150"/>
      <c r="D11" s="151"/>
      <c r="E11" s="151"/>
      <c r="F11" s="151"/>
      <c r="G11" s="151"/>
      <c r="H11" s="12"/>
      <c r="I11" s="12"/>
      <c r="J11" s="152"/>
      <c r="K11" s="153"/>
      <c r="BS11" s="21">
        <f>C11</f>
        <v>0</v>
      </c>
      <c r="IU11" s="19"/>
    </row>
    <row r="12" spans="1:255" hidden="1" outlineLevel="1" x14ac:dyDescent="0.2">
      <c r="A12" s="17" t="s">
        <v>243</v>
      </c>
      <c r="C12" s="150" t="s">
        <v>5</v>
      </c>
      <c r="D12" s="151"/>
      <c r="E12" s="151"/>
      <c r="F12" s="151"/>
      <c r="G12" s="151"/>
      <c r="H12" s="12"/>
      <c r="I12" s="12"/>
      <c r="J12" s="152"/>
      <c r="K12" s="153"/>
      <c r="BS12" s="21" t="str">
        <f>C12</f>
        <v>СКС</v>
      </c>
      <c r="IU12" s="19"/>
    </row>
    <row r="13" spans="1:255" hidden="1" outlineLevel="1" x14ac:dyDescent="0.2">
      <c r="A13" s="17" t="s">
        <v>244</v>
      </c>
      <c r="C13" s="154"/>
      <c r="D13" s="155"/>
      <c r="E13" s="155"/>
      <c r="F13" s="155"/>
      <c r="G13" s="155"/>
      <c r="I13" s="15" t="s">
        <v>245</v>
      </c>
      <c r="J13" s="152"/>
      <c r="K13" s="153"/>
      <c r="BS13" s="21">
        <f>C13</f>
        <v>0</v>
      </c>
      <c r="IU13" s="19"/>
    </row>
    <row r="14" spans="1:255" hidden="1" outlineLevel="1" x14ac:dyDescent="0.2">
      <c r="G14" s="140" t="s">
        <v>246</v>
      </c>
      <c r="H14" s="140"/>
      <c r="I14" s="22" t="s">
        <v>247</v>
      </c>
      <c r="J14" s="141"/>
      <c r="K14" s="142"/>
      <c r="BW14" s="24">
        <f>J14</f>
        <v>0</v>
      </c>
      <c r="IU14" s="19"/>
    </row>
    <row r="15" spans="1:255" hidden="1" outlineLevel="1" x14ac:dyDescent="0.2">
      <c r="I15" s="23" t="s">
        <v>248</v>
      </c>
      <c r="J15" s="143"/>
      <c r="K15" s="144"/>
    </row>
    <row r="16" spans="1:255" s="14" customFormat="1" hidden="1" outlineLevel="1" x14ac:dyDescent="0.2">
      <c r="I16" s="15" t="s">
        <v>249</v>
      </c>
      <c r="J16" s="145"/>
      <c r="K16" s="146"/>
    </row>
    <row r="17" spans="1:255" hidden="1" outlineLevel="1" x14ac:dyDescent="0.2"/>
    <row r="18" spans="1:255" hidden="1" outlineLevel="1" x14ac:dyDescent="0.2">
      <c r="G18" s="147" t="s">
        <v>250</v>
      </c>
      <c r="H18" s="147" t="s">
        <v>251</v>
      </c>
      <c r="I18" s="147" t="s">
        <v>252</v>
      </c>
      <c r="J18" s="149"/>
    </row>
    <row r="19" spans="1:255" ht="13.5" hidden="1" outlineLevel="1" thickBot="1" x14ac:dyDescent="0.25">
      <c r="G19" s="148"/>
      <c r="H19" s="148"/>
      <c r="I19" s="25" t="s">
        <v>253</v>
      </c>
      <c r="J19" s="26" t="s">
        <v>254</v>
      </c>
    </row>
    <row r="20" spans="1:255" ht="14.25" hidden="1" outlineLevel="1" thickBot="1" x14ac:dyDescent="0.3">
      <c r="C20" s="132" t="s">
        <v>255</v>
      </c>
      <c r="D20" s="133"/>
      <c r="E20" s="133"/>
      <c r="F20" s="134"/>
      <c r="G20" s="27"/>
      <c r="H20" s="28"/>
      <c r="I20" s="29"/>
      <c r="J20" s="30"/>
      <c r="K20" s="31"/>
    </row>
    <row r="21" spans="1:255" ht="13.5" hidden="1" outlineLevel="1" x14ac:dyDescent="0.25">
      <c r="C21" s="132" t="s">
        <v>256</v>
      </c>
      <c r="D21" s="133"/>
      <c r="E21" s="133"/>
      <c r="F21" s="133"/>
    </row>
    <row r="22" spans="1:255" hidden="1" outlineLevel="1" x14ac:dyDescent="0.2">
      <c r="A22" s="135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255" hidden="1" outlineLevel="1" x14ac:dyDescent="0.2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257</v>
      </c>
    </row>
    <row r="25" spans="1:255" hidden="1" outlineLevel="1" x14ac:dyDescent="0.2">
      <c r="A25" s="14" t="s">
        <v>258</v>
      </c>
    </row>
    <row r="26" spans="1:255" hidden="1" outlineLevel="1" x14ac:dyDescent="0.2">
      <c r="A26" s="14" t="s">
        <v>259</v>
      </c>
      <c r="B26" s="14"/>
      <c r="C26" s="14"/>
      <c r="D26" s="14"/>
      <c r="E26" s="138">
        <f>J102/1000</f>
        <v>558.29499999999996</v>
      </c>
      <c r="F26" s="139"/>
      <c r="G26" s="14" t="s">
        <v>260</v>
      </c>
      <c r="H26" s="14"/>
      <c r="I26" s="14"/>
      <c r="J26" s="14"/>
      <c r="K26" s="14"/>
    </row>
    <row r="27" spans="1:255" collapsed="1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1:255" outlineLevel="1" x14ac:dyDescent="0.2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33" t="s">
        <v>261</v>
      </c>
    </row>
    <row r="29" spans="1:255" outlineLevel="1" x14ac:dyDescent="0.2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255" outlineLevel="1" x14ac:dyDescent="0.2">
      <c r="A30" s="17" t="s">
        <v>242</v>
      </c>
      <c r="B30" s="90"/>
      <c r="C30" s="126"/>
      <c r="D30" s="126"/>
      <c r="E30" s="126"/>
      <c r="F30" s="126"/>
      <c r="G30" s="126"/>
      <c r="H30" s="126"/>
      <c r="I30" s="126"/>
      <c r="J30" s="126"/>
      <c r="K30" s="126"/>
      <c r="BT30" s="34">
        <f>C30</f>
        <v>0</v>
      </c>
      <c r="IU30" s="19"/>
    </row>
    <row r="31" spans="1:255" outlineLevel="1" x14ac:dyDescent="0.2">
      <c r="A31" s="17" t="s">
        <v>243</v>
      </c>
      <c r="B31" s="90"/>
      <c r="C31" s="126"/>
      <c r="D31" s="126"/>
      <c r="E31" s="126"/>
      <c r="F31" s="126"/>
      <c r="G31" s="126"/>
      <c r="H31" s="126"/>
      <c r="I31" s="126"/>
      <c r="J31" s="126"/>
      <c r="K31" s="126"/>
      <c r="BT31" s="34">
        <f>C31</f>
        <v>0</v>
      </c>
      <c r="IU31" s="19"/>
    </row>
    <row r="32" spans="1:255" outlineLevel="1" x14ac:dyDescent="0.2">
      <c r="A32" s="17" t="s">
        <v>262</v>
      </c>
      <c r="B32" s="90"/>
      <c r="C32" s="127" t="s">
        <v>263</v>
      </c>
      <c r="D32" s="126"/>
      <c r="E32" s="126"/>
      <c r="F32" s="126"/>
      <c r="G32" s="126"/>
      <c r="H32" s="126"/>
      <c r="I32" s="126"/>
      <c r="J32" s="126"/>
      <c r="K32" s="126"/>
      <c r="BT32" s="35" t="str">
        <f>C32</f>
        <v xml:space="preserve"> </v>
      </c>
      <c r="IU32" s="19"/>
    </row>
    <row r="33" spans="1:255" outlineLevel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1:255" ht="18.75" outlineLevel="1" x14ac:dyDescent="0.3">
      <c r="A34" s="128" t="s">
        <v>264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255" outlineLevel="1" x14ac:dyDescent="0.2">
      <c r="A35" s="129" t="s">
        <v>333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Y35" s="19">
        <v>3</v>
      </c>
      <c r="Z35" s="19" t="s">
        <v>265</v>
      </c>
      <c r="AA35" s="19"/>
      <c r="AB35" s="19" t="s">
        <v>266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Техническое перевооружение  СКС АО «Орелоблэнерго»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267</v>
      </c>
      <c r="B36" s="90"/>
      <c r="C36" s="126"/>
      <c r="D36" s="126"/>
      <c r="E36" s="126"/>
      <c r="F36" s="126"/>
      <c r="G36" s="126"/>
      <c r="H36" s="126"/>
      <c r="I36" s="126"/>
      <c r="J36" s="126"/>
      <c r="K36" s="126"/>
      <c r="BT36" s="34">
        <f>C36</f>
        <v>0</v>
      </c>
      <c r="IU36" s="19"/>
    </row>
    <row r="37" spans="1:255" outlineLevel="1" x14ac:dyDescent="0.2">
      <c r="A37" s="90"/>
      <c r="B37" s="90"/>
      <c r="C37" s="90"/>
      <c r="D37" s="90"/>
      <c r="E37" s="90"/>
      <c r="F37" s="90"/>
      <c r="G37" s="90"/>
      <c r="H37" s="90"/>
      <c r="I37" s="36" t="s">
        <v>311</v>
      </c>
      <c r="J37" s="36" t="s">
        <v>269</v>
      </c>
      <c r="K37" s="90"/>
    </row>
    <row r="38" spans="1:255" outlineLevel="1" x14ac:dyDescent="0.2">
      <c r="A38" s="14" t="s">
        <v>268</v>
      </c>
      <c r="B38" s="90"/>
      <c r="C38" s="90"/>
      <c r="D38" s="90"/>
      <c r="E38" s="90"/>
      <c r="F38" s="90"/>
      <c r="G38" s="37" t="s">
        <v>270</v>
      </c>
      <c r="H38" s="90"/>
      <c r="I38" s="38">
        <f>H102/1000</f>
        <v>71.72</v>
      </c>
      <c r="J38" s="38">
        <f>J102/1000</f>
        <v>558.29499999999996</v>
      </c>
      <c r="K38" s="14" t="s">
        <v>271</v>
      </c>
    </row>
    <row r="39" spans="1:255" outlineLevel="1" x14ac:dyDescent="0.2">
      <c r="A39" s="14" t="s">
        <v>258</v>
      </c>
      <c r="B39" s="90"/>
      <c r="C39" s="90"/>
      <c r="D39" s="90"/>
      <c r="E39" s="90"/>
      <c r="F39" s="90"/>
      <c r="G39" s="37" t="s">
        <v>272</v>
      </c>
      <c r="H39" s="90"/>
      <c r="I39" s="38">
        <f>ET85</f>
        <v>82.703744999999998</v>
      </c>
      <c r="J39" s="38">
        <f>CW85</f>
        <v>82.703744999999998</v>
      </c>
      <c r="K39" s="14" t="s">
        <v>273</v>
      </c>
    </row>
    <row r="40" spans="1:255" ht="13.5" outlineLevel="1" thickBot="1" x14ac:dyDescent="0.25">
      <c r="A40" s="90"/>
      <c r="B40" s="90"/>
      <c r="C40" s="90"/>
      <c r="D40" s="90"/>
      <c r="E40" s="90"/>
      <c r="F40" s="90"/>
      <c r="G40" s="37" t="s">
        <v>274</v>
      </c>
      <c r="H40" s="90"/>
      <c r="I40" s="38">
        <f>(EW85+EY85)/1000</f>
        <v>1.0029999999999999</v>
      </c>
      <c r="J40" s="38">
        <f>(CZ85+DB85)/1000</f>
        <v>18.37</v>
      </c>
      <c r="K40" s="14" t="s">
        <v>271</v>
      </c>
    </row>
    <row r="41" spans="1:255" x14ac:dyDescent="0.2">
      <c r="A41" s="130" t="s">
        <v>275</v>
      </c>
      <c r="B41" s="122" t="s">
        <v>276</v>
      </c>
      <c r="C41" s="122" t="s">
        <v>277</v>
      </c>
      <c r="D41" s="122" t="s">
        <v>278</v>
      </c>
      <c r="E41" s="122" t="s">
        <v>279</v>
      </c>
      <c r="F41" s="122" t="s">
        <v>280</v>
      </c>
      <c r="G41" s="122" t="s">
        <v>281</v>
      </c>
      <c r="H41" s="122" t="s">
        <v>282</v>
      </c>
      <c r="I41" s="122" t="s">
        <v>283</v>
      </c>
      <c r="J41" s="122" t="s">
        <v>284</v>
      </c>
      <c r="K41" s="124" t="s">
        <v>285</v>
      </c>
    </row>
    <row r="42" spans="1:255" x14ac:dyDescent="0.2">
      <c r="A42" s="131"/>
      <c r="B42" s="123"/>
      <c r="C42" s="123"/>
      <c r="D42" s="123"/>
      <c r="E42" s="123"/>
      <c r="F42" s="123"/>
      <c r="G42" s="123"/>
      <c r="H42" s="123"/>
      <c r="I42" s="123"/>
      <c r="J42" s="123"/>
      <c r="K42" s="125"/>
    </row>
    <row r="43" spans="1:255" x14ac:dyDescent="0.2">
      <c r="A43" s="131"/>
      <c r="B43" s="123"/>
      <c r="C43" s="123"/>
      <c r="D43" s="123"/>
      <c r="E43" s="123"/>
      <c r="F43" s="123"/>
      <c r="G43" s="123"/>
      <c r="H43" s="123"/>
      <c r="I43" s="123"/>
      <c r="J43" s="123"/>
      <c r="K43" s="125"/>
    </row>
    <row r="44" spans="1:255" ht="13.5" thickBot="1" x14ac:dyDescent="0.25">
      <c r="A44" s="131"/>
      <c r="B44" s="123"/>
      <c r="C44" s="123"/>
      <c r="D44" s="123"/>
      <c r="E44" s="123"/>
      <c r="F44" s="123"/>
      <c r="G44" s="123"/>
      <c r="H44" s="123"/>
      <c r="I44" s="123"/>
      <c r="J44" s="123"/>
      <c r="K44" s="125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17</v>
      </c>
      <c r="F46" s="44">
        <f>Source!AK25</f>
        <v>6.25</v>
      </c>
      <c r="G46" s="91" t="s">
        <v>24</v>
      </c>
      <c r="H46" s="44">
        <f>Source!AB25</f>
        <v>6.97</v>
      </c>
      <c r="I46" s="45"/>
      <c r="J46" s="92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286</v>
      </c>
      <c r="D47" s="49"/>
      <c r="E47" s="50"/>
      <c r="F47" s="52">
        <v>5.16</v>
      </c>
      <c r="G47" s="93" t="s">
        <v>287</v>
      </c>
      <c r="H47" s="52">
        <f>Source!AF25</f>
        <v>6.97</v>
      </c>
      <c r="I47" s="53">
        <f>T47</f>
        <v>118</v>
      </c>
      <c r="J47" s="93">
        <v>18.3</v>
      </c>
      <c r="K47" s="54">
        <f>U47</f>
        <v>2168</v>
      </c>
      <c r="O47" s="19"/>
      <c r="P47" s="19"/>
      <c r="Q47" s="19"/>
      <c r="R47" s="19"/>
      <c r="S47" s="19"/>
      <c r="T47" s="19">
        <f>ROUND(Source!AF25*Source!AV25*Source!I25,0)</f>
        <v>118</v>
      </c>
      <c r="U47" s="19">
        <f>Source!S25</f>
        <v>2168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118</v>
      </c>
      <c r="GK47" s="19">
        <f>T47</f>
        <v>118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>
        <f>T47</f>
        <v>118</v>
      </c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288</v>
      </c>
      <c r="D48" s="57"/>
      <c r="E48" s="58">
        <v>80</v>
      </c>
      <c r="F48" s="73" t="s">
        <v>289</v>
      </c>
      <c r="G48" s="59"/>
      <c r="H48" s="62">
        <f>ROUND((Source!AF25*Source!AV25+Source!AE25*Source!AV25)*(Source!FX25)/100,2)</f>
        <v>5.58</v>
      </c>
      <c r="I48" s="73">
        <f>T48</f>
        <v>94</v>
      </c>
      <c r="J48" s="59" t="s">
        <v>290</v>
      </c>
      <c r="K48" s="74">
        <f>U48</f>
        <v>1474</v>
      </c>
      <c r="O48" s="19"/>
      <c r="P48" s="19"/>
      <c r="Q48" s="19"/>
      <c r="R48" s="19"/>
      <c r="S48" s="19"/>
      <c r="T48" s="19">
        <f>ROUND((ROUND(Source!AF25*Source!AV25*Source!I25,0)+ROUND(Source!AE25*Source!AV25*Source!I25,0))*(Source!FX25)/100,0)</f>
        <v>94</v>
      </c>
      <c r="U48" s="19">
        <f>Source!X25</f>
        <v>1474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>
        <f>T48</f>
        <v>94</v>
      </c>
      <c r="GZ48" s="19"/>
      <c r="HA48" s="19"/>
      <c r="HB48" s="19"/>
      <c r="HC48" s="19">
        <f>T48</f>
        <v>94</v>
      </c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291</v>
      </c>
      <c r="D49" s="57"/>
      <c r="E49" s="58">
        <v>60</v>
      </c>
      <c r="F49" s="73" t="s">
        <v>289</v>
      </c>
      <c r="G49" s="59"/>
      <c r="H49" s="62">
        <f>ROUND((Source!AF25*Source!AV25+Source!AE25*Source!AV25)*(Source!FY25)/100,2)</f>
        <v>4.18</v>
      </c>
      <c r="I49" s="73">
        <f>T49</f>
        <v>71</v>
      </c>
      <c r="J49" s="59" t="s">
        <v>292</v>
      </c>
      <c r="K49" s="74">
        <f>U49</f>
        <v>1041</v>
      </c>
      <c r="O49" s="19"/>
      <c r="P49" s="19"/>
      <c r="Q49" s="19"/>
      <c r="R49" s="19"/>
      <c r="S49" s="19"/>
      <c r="T49" s="19">
        <f>ROUND((ROUND(Source!AF25*Source!AV25*Source!I25,0)+ROUND(Source!AE25*Source!AV25*Source!I25,0))*(Source!FY25)/100,0)</f>
        <v>71</v>
      </c>
      <c r="U49" s="19">
        <f>Source!Y25</f>
        <v>1041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>
        <f>T49</f>
        <v>71</v>
      </c>
      <c r="HA49" s="19"/>
      <c r="HB49" s="19"/>
      <c r="HC49" s="19">
        <f>T49</f>
        <v>71</v>
      </c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293</v>
      </c>
      <c r="D50" s="57" t="s">
        <v>294</v>
      </c>
      <c r="E50" s="58">
        <v>0.52</v>
      </c>
      <c r="F50" s="59"/>
      <c r="G50" s="59" t="s">
        <v>287</v>
      </c>
      <c r="H50" s="59">
        <f>ROUND(Source!AH25,2)</f>
        <v>0.7</v>
      </c>
      <c r="I50" s="62">
        <f>Source!U25</f>
        <v>11.934000000000001</v>
      </c>
      <c r="J50" s="59"/>
      <c r="K50" s="6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ht="24" x14ac:dyDescent="0.2">
      <c r="A51" s="65" t="s">
        <v>27</v>
      </c>
      <c r="B51" s="72" t="s">
        <v>28</v>
      </c>
      <c r="C51" s="66" t="s">
        <v>29</v>
      </c>
      <c r="D51" s="67" t="s">
        <v>30</v>
      </c>
      <c r="E51" s="68">
        <f>Source!I27</f>
        <v>2</v>
      </c>
      <c r="F51" s="69">
        <v>6617.73</v>
      </c>
      <c r="G51" s="94"/>
      <c r="H51" s="69">
        <f>Source!AC27</f>
        <v>6617.73</v>
      </c>
      <c r="I51" s="70">
        <f>T51</f>
        <v>13235</v>
      </c>
      <c r="J51" s="94">
        <v>7.5</v>
      </c>
      <c r="K51" s="71">
        <f>U51</f>
        <v>99266</v>
      </c>
      <c r="O51" s="19"/>
      <c r="P51" s="19"/>
      <c r="Q51" s="19"/>
      <c r="R51" s="19"/>
      <c r="S51" s="19"/>
      <c r="T51" s="19">
        <f>ROUND(Source!AC27*Source!AW27*Source!I27,0)</f>
        <v>13235</v>
      </c>
      <c r="U51" s="19">
        <f>Source!P27</f>
        <v>99266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>
        <f>T51</f>
        <v>13235</v>
      </c>
      <c r="GK51" s="19"/>
      <c r="GL51" s="19"/>
      <c r="GM51" s="19"/>
      <c r="GN51" s="19">
        <f>T51</f>
        <v>13235</v>
      </c>
      <c r="GO51" s="19"/>
      <c r="GP51" s="19">
        <f>T51</f>
        <v>13235</v>
      </c>
      <c r="GQ51" s="19">
        <f>T51</f>
        <v>13235</v>
      </c>
      <c r="GR51" s="19"/>
      <c r="GS51" s="19">
        <f>T51</f>
        <v>13235</v>
      </c>
      <c r="GT51" s="19"/>
      <c r="GU51" s="19"/>
      <c r="GV51" s="19"/>
      <c r="GW51" s="19">
        <f>ROUND(Source!AG27*Source!I27,0)</f>
        <v>0</v>
      </c>
      <c r="GX51" s="19">
        <f>ROUND(Source!AJ27*Source!I27,0)</f>
        <v>0</v>
      </c>
      <c r="GY51" s="19"/>
      <c r="GZ51" s="19"/>
      <c r="HA51" s="19"/>
      <c r="HB51" s="19">
        <f>T51</f>
        <v>13235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x14ac:dyDescent="0.2">
      <c r="A52" s="95"/>
      <c r="B52" s="96" t="s">
        <v>295</v>
      </c>
      <c r="C52" s="96" t="s">
        <v>296</v>
      </c>
      <c r="D52" s="97"/>
      <c r="E52" s="97"/>
      <c r="F52" s="97"/>
      <c r="G52" s="97"/>
      <c r="H52" s="97"/>
      <c r="I52" s="97"/>
      <c r="J52" s="97"/>
      <c r="K52" s="98"/>
    </row>
    <row r="53" spans="1:255" ht="24" x14ac:dyDescent="0.2">
      <c r="A53" s="65" t="s">
        <v>35</v>
      </c>
      <c r="B53" s="72" t="s">
        <v>28</v>
      </c>
      <c r="C53" s="66" t="s">
        <v>36</v>
      </c>
      <c r="D53" s="67" t="s">
        <v>30</v>
      </c>
      <c r="E53" s="68">
        <f>Source!I29</f>
        <v>1</v>
      </c>
      <c r="F53" s="69">
        <v>25576.27</v>
      </c>
      <c r="G53" s="94"/>
      <c r="H53" s="69">
        <f>Source!AC29</f>
        <v>25576.27</v>
      </c>
      <c r="I53" s="70">
        <f>T53</f>
        <v>25576</v>
      </c>
      <c r="J53" s="94">
        <v>7.5</v>
      </c>
      <c r="K53" s="71">
        <f>U53</f>
        <v>191822</v>
      </c>
      <c r="O53" s="19"/>
      <c r="P53" s="19"/>
      <c r="Q53" s="19"/>
      <c r="R53" s="19"/>
      <c r="S53" s="19"/>
      <c r="T53" s="19">
        <f>ROUND(Source!AC29*Source!AW29*Source!I29,0)</f>
        <v>25576</v>
      </c>
      <c r="U53" s="19">
        <f>Source!P29</f>
        <v>191822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25576</v>
      </c>
      <c r="GK53" s="19"/>
      <c r="GL53" s="19"/>
      <c r="GM53" s="19"/>
      <c r="GN53" s="19">
        <f>T53</f>
        <v>25576</v>
      </c>
      <c r="GO53" s="19"/>
      <c r="GP53" s="19">
        <f>T53</f>
        <v>25576</v>
      </c>
      <c r="GQ53" s="19">
        <f>T53</f>
        <v>25576</v>
      </c>
      <c r="GR53" s="19"/>
      <c r="GS53" s="19">
        <f>T53</f>
        <v>25576</v>
      </c>
      <c r="GT53" s="19"/>
      <c r="GU53" s="19"/>
      <c r="GV53" s="19"/>
      <c r="GW53" s="19">
        <f>ROUND(Source!AG29*Source!I29,0)</f>
        <v>0</v>
      </c>
      <c r="GX53" s="19">
        <f>ROUND(Source!AJ29*Source!I29,0)</f>
        <v>0</v>
      </c>
      <c r="GY53" s="19"/>
      <c r="GZ53" s="19"/>
      <c r="HA53" s="19"/>
      <c r="HB53" s="19">
        <f>T53</f>
        <v>25576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95"/>
      <c r="B54" s="96" t="s">
        <v>295</v>
      </c>
      <c r="C54" s="96" t="s">
        <v>297</v>
      </c>
      <c r="D54" s="97"/>
      <c r="E54" s="97"/>
      <c r="F54" s="97"/>
      <c r="G54" s="97"/>
      <c r="H54" s="97"/>
      <c r="I54" s="97"/>
      <c r="J54" s="97"/>
      <c r="K54" s="98"/>
    </row>
    <row r="55" spans="1:255" ht="24" x14ac:dyDescent="0.2">
      <c r="A55" s="65" t="s">
        <v>38</v>
      </c>
      <c r="B55" s="72" t="s">
        <v>28</v>
      </c>
      <c r="C55" s="66" t="s">
        <v>39</v>
      </c>
      <c r="D55" s="67" t="s">
        <v>30</v>
      </c>
      <c r="E55" s="68">
        <f>Source!I31</f>
        <v>2</v>
      </c>
      <c r="F55" s="69">
        <v>1233.33</v>
      </c>
      <c r="G55" s="94"/>
      <c r="H55" s="69">
        <f>Source!AC31</f>
        <v>1233.33</v>
      </c>
      <c r="I55" s="70">
        <f>T55</f>
        <v>2467</v>
      </c>
      <c r="J55" s="94">
        <v>7.5</v>
      </c>
      <c r="K55" s="71">
        <f>U55</f>
        <v>18500</v>
      </c>
      <c r="O55" s="19"/>
      <c r="P55" s="19"/>
      <c r="Q55" s="19"/>
      <c r="R55" s="19"/>
      <c r="S55" s="19"/>
      <c r="T55" s="19">
        <f>ROUND(Source!AC31*Source!AW31*Source!I31,0)</f>
        <v>2467</v>
      </c>
      <c r="U55" s="19">
        <f>Source!P31</f>
        <v>18500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2467</v>
      </c>
      <c r="GK55" s="19"/>
      <c r="GL55" s="19"/>
      <c r="GM55" s="19"/>
      <c r="GN55" s="19">
        <f>T55</f>
        <v>2467</v>
      </c>
      <c r="GO55" s="19"/>
      <c r="GP55" s="19">
        <f>T55</f>
        <v>2467</v>
      </c>
      <c r="GQ55" s="19">
        <f>T55</f>
        <v>2467</v>
      </c>
      <c r="GR55" s="19"/>
      <c r="GS55" s="19">
        <f>T55</f>
        <v>2467</v>
      </c>
      <c r="GT55" s="19"/>
      <c r="GU55" s="19"/>
      <c r="GV55" s="19"/>
      <c r="GW55" s="19">
        <f>ROUND(Source!AG31*Source!I31,0)</f>
        <v>0</v>
      </c>
      <c r="GX55" s="19">
        <f>ROUND(Source!AJ31*Source!I31,0)</f>
        <v>0</v>
      </c>
      <c r="GY55" s="19"/>
      <c r="GZ55" s="19"/>
      <c r="HA55" s="19"/>
      <c r="HB55" s="19">
        <f>T55</f>
        <v>2467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95"/>
      <c r="B56" s="96" t="s">
        <v>295</v>
      </c>
      <c r="C56" s="96" t="s">
        <v>298</v>
      </c>
      <c r="D56" s="97"/>
      <c r="E56" s="97"/>
      <c r="F56" s="97"/>
      <c r="G56" s="97"/>
      <c r="H56" s="97"/>
      <c r="I56" s="97"/>
      <c r="J56" s="97"/>
      <c r="K56" s="98"/>
    </row>
    <row r="57" spans="1:255" x14ac:dyDescent="0.2">
      <c r="A57" s="65" t="s">
        <v>41</v>
      </c>
      <c r="B57" s="72" t="s">
        <v>28</v>
      </c>
      <c r="C57" s="66" t="s">
        <v>42</v>
      </c>
      <c r="D57" s="67" t="s">
        <v>30</v>
      </c>
      <c r="E57" s="68">
        <f>Source!I33</f>
        <v>8</v>
      </c>
      <c r="F57" s="69">
        <v>1627.12</v>
      </c>
      <c r="G57" s="94"/>
      <c r="H57" s="69">
        <f>Source!AC33</f>
        <v>1627.12</v>
      </c>
      <c r="I57" s="70">
        <f>T57</f>
        <v>13017</v>
      </c>
      <c r="J57" s="94">
        <v>7.5</v>
      </c>
      <c r="K57" s="71">
        <f>U57</f>
        <v>97627</v>
      </c>
      <c r="O57" s="19"/>
      <c r="P57" s="19"/>
      <c r="Q57" s="19"/>
      <c r="R57" s="19"/>
      <c r="S57" s="19"/>
      <c r="T57" s="19">
        <f>ROUND(Source!AC33*Source!AW33*Source!I33,0)</f>
        <v>13017</v>
      </c>
      <c r="U57" s="19">
        <f>Source!P33</f>
        <v>97627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>
        <f>T57</f>
        <v>13017</v>
      </c>
      <c r="GK57" s="19"/>
      <c r="GL57" s="19"/>
      <c r="GM57" s="19"/>
      <c r="GN57" s="19">
        <f>T57</f>
        <v>13017</v>
      </c>
      <c r="GO57" s="19"/>
      <c r="GP57" s="19">
        <f>T57</f>
        <v>13017</v>
      </c>
      <c r="GQ57" s="19">
        <f>T57</f>
        <v>13017</v>
      </c>
      <c r="GR57" s="19"/>
      <c r="GS57" s="19">
        <f>T57</f>
        <v>13017</v>
      </c>
      <c r="GT57" s="19"/>
      <c r="GU57" s="19"/>
      <c r="GV57" s="19"/>
      <c r="GW57" s="19">
        <f>ROUND(Source!AG33*Source!I33,0)</f>
        <v>0</v>
      </c>
      <c r="GX57" s="19">
        <f>ROUND(Source!AJ33*Source!I33,0)</f>
        <v>0</v>
      </c>
      <c r="GY57" s="19"/>
      <c r="GZ57" s="19"/>
      <c r="HA57" s="19"/>
      <c r="HB57" s="19">
        <f>T57</f>
        <v>13017</v>
      </c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95"/>
      <c r="B58" s="96" t="s">
        <v>295</v>
      </c>
      <c r="C58" s="96" t="s">
        <v>299</v>
      </c>
      <c r="D58" s="97"/>
      <c r="E58" s="97"/>
      <c r="F58" s="97"/>
      <c r="G58" s="97"/>
      <c r="H58" s="97"/>
      <c r="I58" s="97"/>
      <c r="J58" s="97"/>
      <c r="K58" s="98"/>
    </row>
    <row r="59" spans="1:255" ht="36" x14ac:dyDescent="0.2">
      <c r="A59" s="65" t="s">
        <v>44</v>
      </c>
      <c r="B59" s="72" t="s">
        <v>28</v>
      </c>
      <c r="C59" s="66" t="s">
        <v>45</v>
      </c>
      <c r="D59" s="67" t="s">
        <v>30</v>
      </c>
      <c r="E59" s="68">
        <f>Source!I35</f>
        <v>2</v>
      </c>
      <c r="F59" s="69">
        <v>5952</v>
      </c>
      <c r="G59" s="94"/>
      <c r="H59" s="69">
        <f>Source!AC35</f>
        <v>5952</v>
      </c>
      <c r="I59" s="70">
        <f>T59</f>
        <v>11904</v>
      </c>
      <c r="J59" s="94">
        <v>7.5</v>
      </c>
      <c r="K59" s="71">
        <f>U59</f>
        <v>89280</v>
      </c>
      <c r="O59" s="19"/>
      <c r="P59" s="19"/>
      <c r="Q59" s="19"/>
      <c r="R59" s="19"/>
      <c r="S59" s="19"/>
      <c r="T59" s="19">
        <f>ROUND(Source!AC35*Source!AW35*Source!I35,0)</f>
        <v>11904</v>
      </c>
      <c r="U59" s="19">
        <f>Source!P35</f>
        <v>89280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11904</v>
      </c>
      <c r="GK59" s="19"/>
      <c r="GL59" s="19"/>
      <c r="GM59" s="19"/>
      <c r="GN59" s="19">
        <f>T59</f>
        <v>11904</v>
      </c>
      <c r="GO59" s="19"/>
      <c r="GP59" s="19">
        <f>T59</f>
        <v>11904</v>
      </c>
      <c r="GQ59" s="19">
        <f>T59</f>
        <v>11904</v>
      </c>
      <c r="GR59" s="19"/>
      <c r="GS59" s="19">
        <f>T59</f>
        <v>11904</v>
      </c>
      <c r="GT59" s="19"/>
      <c r="GU59" s="19"/>
      <c r="GV59" s="19"/>
      <c r="GW59" s="19">
        <f>ROUND(Source!AG35*Source!I35,0)</f>
        <v>0</v>
      </c>
      <c r="GX59" s="19">
        <f>ROUND(Source!AJ35*Source!I35,0)</f>
        <v>0</v>
      </c>
      <c r="GY59" s="19"/>
      <c r="GZ59" s="19"/>
      <c r="HA59" s="19"/>
      <c r="HB59" s="19">
        <f>T59</f>
        <v>11904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95"/>
      <c r="B60" s="96" t="s">
        <v>295</v>
      </c>
      <c r="C60" s="96" t="s">
        <v>300</v>
      </c>
      <c r="D60" s="97"/>
      <c r="E60" s="97"/>
      <c r="F60" s="97"/>
      <c r="G60" s="97"/>
      <c r="H60" s="97"/>
      <c r="I60" s="97"/>
      <c r="J60" s="97"/>
      <c r="K60" s="98"/>
    </row>
    <row r="61" spans="1:255" ht="24" x14ac:dyDescent="0.2">
      <c r="A61" s="65" t="s">
        <v>50</v>
      </c>
      <c r="B61" s="72" t="s">
        <v>28</v>
      </c>
      <c r="C61" s="66" t="s">
        <v>51</v>
      </c>
      <c r="D61" s="67" t="s">
        <v>30</v>
      </c>
      <c r="E61" s="68">
        <f>Source!I37</f>
        <v>2</v>
      </c>
      <c r="F61" s="69">
        <v>1236.93</v>
      </c>
      <c r="G61" s="94"/>
      <c r="H61" s="69">
        <f>Source!AC37</f>
        <v>1236.93</v>
      </c>
      <c r="I61" s="70">
        <f>T61</f>
        <v>2474</v>
      </c>
      <c r="J61" s="94">
        <v>7.5</v>
      </c>
      <c r="K61" s="71">
        <f>U61</f>
        <v>18554</v>
      </c>
      <c r="O61" s="19"/>
      <c r="P61" s="19"/>
      <c r="Q61" s="19"/>
      <c r="R61" s="19"/>
      <c r="S61" s="19"/>
      <c r="T61" s="19">
        <f>ROUND(Source!AC37*Source!AW37*Source!I37,0)</f>
        <v>2474</v>
      </c>
      <c r="U61" s="19">
        <f>Source!P37</f>
        <v>18554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>
        <f>T61</f>
        <v>2474</v>
      </c>
      <c r="GK61" s="19"/>
      <c r="GL61" s="19"/>
      <c r="GM61" s="19"/>
      <c r="GN61" s="19">
        <f>T61</f>
        <v>2474</v>
      </c>
      <c r="GO61" s="19"/>
      <c r="GP61" s="19">
        <f>T61</f>
        <v>2474</v>
      </c>
      <c r="GQ61" s="19">
        <f>T61</f>
        <v>2474</v>
      </c>
      <c r="GR61" s="19"/>
      <c r="GS61" s="19">
        <f>T61</f>
        <v>2474</v>
      </c>
      <c r="GT61" s="19"/>
      <c r="GU61" s="19"/>
      <c r="GV61" s="19"/>
      <c r="GW61" s="19">
        <f>ROUND(Source!AG37*Source!I37,0)</f>
        <v>0</v>
      </c>
      <c r="GX61" s="19">
        <f>ROUND(Source!AJ37*Source!I37,0)</f>
        <v>0</v>
      </c>
      <c r="GY61" s="19"/>
      <c r="GZ61" s="19"/>
      <c r="HA61" s="19"/>
      <c r="HB61" s="19">
        <f>T61</f>
        <v>2474</v>
      </c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13.5" thickBot="1" x14ac:dyDescent="0.25">
      <c r="A62" s="99"/>
      <c r="B62" s="100" t="s">
        <v>295</v>
      </c>
      <c r="C62" s="100" t="s">
        <v>301</v>
      </c>
      <c r="D62" s="101"/>
      <c r="E62" s="101"/>
      <c r="F62" s="101"/>
      <c r="G62" s="101"/>
      <c r="H62" s="101"/>
      <c r="I62" s="101"/>
      <c r="J62" s="101"/>
      <c r="K62" s="102"/>
    </row>
    <row r="63" spans="1:255" x14ac:dyDescent="0.2">
      <c r="A63" s="64"/>
      <c r="B63" s="63"/>
      <c r="C63" s="63"/>
      <c r="D63" s="63"/>
      <c r="E63" s="63"/>
      <c r="F63" s="63"/>
      <c r="G63" s="63"/>
      <c r="H63" s="118">
        <f>R63</f>
        <v>68956</v>
      </c>
      <c r="I63" s="119"/>
      <c r="J63" s="118">
        <f>S63</f>
        <v>519732</v>
      </c>
      <c r="K63" s="120"/>
      <c r="O63" s="19"/>
      <c r="P63" s="19"/>
      <c r="Q63" s="19"/>
      <c r="R63" s="19">
        <f>SUM(T46:T62)</f>
        <v>68956</v>
      </c>
      <c r="S63" s="19">
        <f>SUM(U46:U62)</f>
        <v>519732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>
        <f>R63</f>
        <v>68956</v>
      </c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33.75" x14ac:dyDescent="0.2">
      <c r="A64" s="65">
        <v>2</v>
      </c>
      <c r="B64" s="72" t="s">
        <v>54</v>
      </c>
      <c r="C64" s="66" t="s">
        <v>55</v>
      </c>
      <c r="D64" s="67" t="s">
        <v>56</v>
      </c>
      <c r="E64" s="68">
        <v>3.05</v>
      </c>
      <c r="F64" s="69">
        <f>Source!AK39</f>
        <v>117.17</v>
      </c>
      <c r="G64" s="103" t="s">
        <v>24</v>
      </c>
      <c r="H64" s="69">
        <f>Source!AB39</f>
        <v>138.79</v>
      </c>
      <c r="I64" s="70"/>
      <c r="J64" s="104"/>
      <c r="K64" s="71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51"/>
      <c r="B65" s="48"/>
      <c r="C65" s="48" t="s">
        <v>286</v>
      </c>
      <c r="D65" s="49"/>
      <c r="E65" s="50"/>
      <c r="F65" s="52">
        <v>102.8</v>
      </c>
      <c r="G65" s="93" t="s">
        <v>287</v>
      </c>
      <c r="H65" s="52">
        <f>Source!AF39</f>
        <v>138.78</v>
      </c>
      <c r="I65" s="53">
        <f>T65</f>
        <v>423</v>
      </c>
      <c r="J65" s="93">
        <v>18.3</v>
      </c>
      <c r="K65" s="54">
        <f>U65</f>
        <v>7746</v>
      </c>
      <c r="O65" s="19"/>
      <c r="P65" s="19"/>
      <c r="Q65" s="19"/>
      <c r="R65" s="19"/>
      <c r="S65" s="19"/>
      <c r="T65" s="19">
        <f>ROUND(Source!AF39*Source!AV39*Source!I39,0)</f>
        <v>423</v>
      </c>
      <c r="U65" s="19">
        <f>Source!S39</f>
        <v>7746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>
        <f>T65</f>
        <v>423</v>
      </c>
      <c r="GK65" s="19">
        <f>T65</f>
        <v>423</v>
      </c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>
        <f>T65</f>
        <v>423</v>
      </c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6"/>
      <c r="C66" s="56" t="s">
        <v>302</v>
      </c>
      <c r="D66" s="57"/>
      <c r="E66" s="58"/>
      <c r="F66" s="62">
        <v>14.37</v>
      </c>
      <c r="G66" s="59"/>
      <c r="H66" s="62">
        <f>Source!AC39</f>
        <v>0.01</v>
      </c>
      <c r="I66" s="73">
        <f>T66</f>
        <v>0</v>
      </c>
      <c r="J66" s="59">
        <v>7.5</v>
      </c>
      <c r="K66" s="74">
        <f>U66</f>
        <v>0</v>
      </c>
      <c r="O66" s="19"/>
      <c r="P66" s="19"/>
      <c r="Q66" s="19"/>
      <c r="R66" s="19"/>
      <c r="S66" s="19"/>
      <c r="T66" s="19">
        <f>ROUND(Source!AC39*Source!AW39*Source!I39,0)</f>
        <v>0</v>
      </c>
      <c r="U66" s="19">
        <f>Source!P39</f>
        <v>0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>
        <f>T66</f>
        <v>0</v>
      </c>
      <c r="GK66" s="19"/>
      <c r="GL66" s="19"/>
      <c r="GM66" s="19"/>
      <c r="GN66" s="19">
        <f>T66</f>
        <v>0</v>
      </c>
      <c r="GO66" s="19"/>
      <c r="GP66" s="19">
        <f>T66</f>
        <v>0</v>
      </c>
      <c r="GQ66" s="19">
        <f>T66</f>
        <v>0</v>
      </c>
      <c r="GR66" s="19"/>
      <c r="GS66" s="19">
        <f>T66</f>
        <v>0</v>
      </c>
      <c r="GT66" s="19"/>
      <c r="GU66" s="19"/>
      <c r="GV66" s="19"/>
      <c r="GW66" s="19">
        <f>ROUND(Source!AG39*Source!I39,0)</f>
        <v>0</v>
      </c>
      <c r="GX66" s="19">
        <f>ROUND(Source!AJ39*Source!I39,0)</f>
        <v>0</v>
      </c>
      <c r="GY66" s="19"/>
      <c r="GZ66" s="19"/>
      <c r="HA66" s="19"/>
      <c r="HB66" s="19"/>
      <c r="HC66" s="19">
        <f>T66</f>
        <v>0</v>
      </c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288</v>
      </c>
      <c r="D67" s="57"/>
      <c r="E67" s="58">
        <v>80</v>
      </c>
      <c r="F67" s="73" t="s">
        <v>289</v>
      </c>
      <c r="G67" s="59"/>
      <c r="H67" s="62">
        <f>ROUND((Source!AF39*Source!AV39+Source!AE39*Source!AV39)*(Source!FX39)/100,2)</f>
        <v>111.02</v>
      </c>
      <c r="I67" s="73">
        <f>T67</f>
        <v>338</v>
      </c>
      <c r="J67" s="59" t="s">
        <v>290</v>
      </c>
      <c r="K67" s="74">
        <f>U67</f>
        <v>5267</v>
      </c>
      <c r="O67" s="19"/>
      <c r="P67" s="19"/>
      <c r="Q67" s="19"/>
      <c r="R67" s="19"/>
      <c r="S67" s="19"/>
      <c r="T67" s="19">
        <f>ROUND((ROUND(Source!AF39*Source!AV39*Source!I39,0)+ROUND(Source!AE39*Source!AV39*Source!I39,0))*(Source!FX39)/100,0)</f>
        <v>338</v>
      </c>
      <c r="U67" s="19">
        <f>Source!X39</f>
        <v>5267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>
        <f>T67</f>
        <v>338</v>
      </c>
      <c r="GZ67" s="19"/>
      <c r="HA67" s="19"/>
      <c r="HB67" s="19"/>
      <c r="HC67" s="19">
        <f>T67</f>
        <v>338</v>
      </c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60"/>
      <c r="B68" s="56"/>
      <c r="C68" s="56" t="s">
        <v>291</v>
      </c>
      <c r="D68" s="57"/>
      <c r="E68" s="58">
        <v>60</v>
      </c>
      <c r="F68" s="73" t="s">
        <v>289</v>
      </c>
      <c r="G68" s="59"/>
      <c r="H68" s="62">
        <f>ROUND((Source!AF39*Source!AV39+Source!AE39*Source!AV39)*(Source!FY39)/100,2)</f>
        <v>83.27</v>
      </c>
      <c r="I68" s="73">
        <f>T68</f>
        <v>254</v>
      </c>
      <c r="J68" s="59" t="s">
        <v>292</v>
      </c>
      <c r="K68" s="74">
        <f>U68</f>
        <v>3718</v>
      </c>
      <c r="O68" s="19"/>
      <c r="P68" s="19"/>
      <c r="Q68" s="19"/>
      <c r="R68" s="19"/>
      <c r="S68" s="19"/>
      <c r="T68" s="19">
        <f>ROUND((ROUND(Source!AF39*Source!AV39*Source!I39,0)+ROUND(Source!AE39*Source!AV39*Source!I39,0))*(Source!FY39)/100,0)</f>
        <v>254</v>
      </c>
      <c r="U68" s="19">
        <f>Source!Y39</f>
        <v>3718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>
        <f>T68</f>
        <v>254</v>
      </c>
      <c r="HA68" s="19"/>
      <c r="HB68" s="19"/>
      <c r="HC68" s="19">
        <f>T68</f>
        <v>254</v>
      </c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60"/>
      <c r="B69" s="56"/>
      <c r="C69" s="56" t="s">
        <v>293</v>
      </c>
      <c r="D69" s="57" t="s">
        <v>294</v>
      </c>
      <c r="E69" s="58">
        <v>9.27</v>
      </c>
      <c r="F69" s="59"/>
      <c r="G69" s="59" t="s">
        <v>287</v>
      </c>
      <c r="H69" s="59">
        <f>ROUND(Source!AH39,2)</f>
        <v>12.51</v>
      </c>
      <c r="I69" s="62">
        <f>Source!U39</f>
        <v>38.169224999999997</v>
      </c>
      <c r="J69" s="59"/>
      <c r="K69" s="61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65" t="s">
        <v>58</v>
      </c>
      <c r="B70" s="72" t="s">
        <v>28</v>
      </c>
      <c r="C70" s="66" t="s">
        <v>59</v>
      </c>
      <c r="D70" s="67" t="s">
        <v>60</v>
      </c>
      <c r="E70" s="68">
        <f>Source!I41</f>
        <v>305</v>
      </c>
      <c r="F70" s="69">
        <v>2.63</v>
      </c>
      <c r="G70" s="94"/>
      <c r="H70" s="69">
        <f>Source!AC41</f>
        <v>2.63</v>
      </c>
      <c r="I70" s="70">
        <f>T70</f>
        <v>802</v>
      </c>
      <c r="J70" s="94">
        <v>7.5</v>
      </c>
      <c r="K70" s="71">
        <f>U70</f>
        <v>6016</v>
      </c>
      <c r="O70" s="19"/>
      <c r="P70" s="19"/>
      <c r="Q70" s="19"/>
      <c r="R70" s="19"/>
      <c r="S70" s="19"/>
      <c r="T70" s="19">
        <f>ROUND(Source!AC41*Source!AW41*Source!I41,0)</f>
        <v>802</v>
      </c>
      <c r="U70" s="19">
        <f>Source!P41</f>
        <v>6016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>
        <f>T70</f>
        <v>802</v>
      </c>
      <c r="GK70" s="19"/>
      <c r="GL70" s="19"/>
      <c r="GM70" s="19"/>
      <c r="GN70" s="19">
        <f>T70</f>
        <v>802</v>
      </c>
      <c r="GO70" s="19"/>
      <c r="GP70" s="19">
        <f>T70</f>
        <v>802</v>
      </c>
      <c r="GQ70" s="19">
        <f>T70</f>
        <v>802</v>
      </c>
      <c r="GR70" s="19"/>
      <c r="GS70" s="19">
        <f>T70</f>
        <v>802</v>
      </c>
      <c r="GT70" s="19"/>
      <c r="GU70" s="19"/>
      <c r="GV70" s="19"/>
      <c r="GW70" s="19">
        <f>ROUND(Source!AG41*Source!I41,0)</f>
        <v>0</v>
      </c>
      <c r="GX70" s="19">
        <f>ROUND(Source!AJ41*Source!I41,0)</f>
        <v>0</v>
      </c>
      <c r="GY70" s="19"/>
      <c r="GZ70" s="19"/>
      <c r="HA70" s="19"/>
      <c r="HB70" s="19">
        <f>T70</f>
        <v>802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t="13.5" thickBot="1" x14ac:dyDescent="0.25">
      <c r="A71" s="99"/>
      <c r="B71" s="100" t="s">
        <v>295</v>
      </c>
      <c r="C71" s="100" t="s">
        <v>303</v>
      </c>
      <c r="D71" s="101"/>
      <c r="E71" s="101"/>
      <c r="F71" s="101"/>
      <c r="G71" s="101"/>
      <c r="H71" s="101"/>
      <c r="I71" s="101"/>
      <c r="J71" s="101"/>
      <c r="K71" s="102"/>
    </row>
    <row r="72" spans="1:255" x14ac:dyDescent="0.2">
      <c r="A72" s="64"/>
      <c r="B72" s="63"/>
      <c r="C72" s="63"/>
      <c r="D72" s="63"/>
      <c r="E72" s="63"/>
      <c r="F72" s="63"/>
      <c r="G72" s="63"/>
      <c r="H72" s="118">
        <f>R72</f>
        <v>1817</v>
      </c>
      <c r="I72" s="119"/>
      <c r="J72" s="118">
        <f>S72</f>
        <v>22747</v>
      </c>
      <c r="K72" s="120"/>
      <c r="O72" s="19"/>
      <c r="P72" s="19"/>
      <c r="Q72" s="19"/>
      <c r="R72" s="19">
        <f>SUM(T64:T71)</f>
        <v>1817</v>
      </c>
      <c r="S72" s="19">
        <f>SUM(U64:U71)</f>
        <v>22747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>
        <f>R72</f>
        <v>1817</v>
      </c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ht="24" x14ac:dyDescent="0.2">
      <c r="A73" s="65">
        <v>3</v>
      </c>
      <c r="B73" s="72" t="s">
        <v>73</v>
      </c>
      <c r="C73" s="66" t="s">
        <v>74</v>
      </c>
      <c r="D73" s="67" t="s">
        <v>75</v>
      </c>
      <c r="E73" s="165">
        <v>3.7000000000000002E-3</v>
      </c>
      <c r="F73" s="69">
        <f>Source!AK47</f>
        <v>94.199999999999989</v>
      </c>
      <c r="G73" s="103" t="s">
        <v>6</v>
      </c>
      <c r="H73" s="69">
        <f>Source!AB47</f>
        <v>92.35</v>
      </c>
      <c r="I73" s="70"/>
      <c r="J73" s="104"/>
      <c r="K73" s="71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51"/>
      <c r="B74" s="48"/>
      <c r="C74" s="48" t="s">
        <v>286</v>
      </c>
      <c r="D74" s="49"/>
      <c r="E74" s="50"/>
      <c r="F74" s="52">
        <v>92.35</v>
      </c>
      <c r="G74" s="93"/>
      <c r="H74" s="52">
        <f>Source!AF47</f>
        <v>92.35</v>
      </c>
      <c r="I74" s="53">
        <f>T74</f>
        <v>0</v>
      </c>
      <c r="J74" s="93">
        <v>18.3</v>
      </c>
      <c r="K74" s="54">
        <f>U74</f>
        <v>6</v>
      </c>
      <c r="O74" s="19"/>
      <c r="P74" s="19"/>
      <c r="Q74" s="19"/>
      <c r="R74" s="19"/>
      <c r="S74" s="19"/>
      <c r="T74" s="19">
        <f>ROUND(Source!AF47*Source!AV47*Source!I47,0)</f>
        <v>0</v>
      </c>
      <c r="U74" s="19">
        <f>Source!S47</f>
        <v>6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>
        <f>T74</f>
        <v>0</v>
      </c>
      <c r="GK74" s="19">
        <f>T74</f>
        <v>0</v>
      </c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>
        <f>T74</f>
        <v>0</v>
      </c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0"/>
      <c r="B75" s="56"/>
      <c r="C75" s="56" t="s">
        <v>288</v>
      </c>
      <c r="D75" s="57"/>
      <c r="E75" s="58">
        <v>95</v>
      </c>
      <c r="F75" s="73" t="s">
        <v>289</v>
      </c>
      <c r="G75" s="59"/>
      <c r="H75" s="62">
        <f>ROUND((Source!AF47*Source!AV47+Source!AE47*Source!AV47)*(Source!FX47)/100,2)</f>
        <v>87.73</v>
      </c>
      <c r="I75" s="73">
        <f>T75</f>
        <v>0</v>
      </c>
      <c r="J75" s="59" t="s">
        <v>304</v>
      </c>
      <c r="K75" s="74">
        <f>U75</f>
        <v>5</v>
      </c>
      <c r="O75" s="19"/>
      <c r="P75" s="19"/>
      <c r="Q75" s="19"/>
      <c r="R75" s="19"/>
      <c r="S75" s="19"/>
      <c r="T75" s="19">
        <f>ROUND((ROUND(Source!AF47*Source!AV47*Source!I47,0)+ROUND(Source!AE47*Source!AV47*Source!I47,0))*(Source!FX47)/100,0)</f>
        <v>0</v>
      </c>
      <c r="U75" s="19">
        <f>Source!X47</f>
        <v>5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>
        <f>T75</f>
        <v>0</v>
      </c>
      <c r="GZ75" s="19"/>
      <c r="HA75" s="19"/>
      <c r="HB75" s="19"/>
      <c r="HC75" s="19">
        <f>T75</f>
        <v>0</v>
      </c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60"/>
      <c r="B76" s="56"/>
      <c r="C76" s="56" t="s">
        <v>291</v>
      </c>
      <c r="D76" s="57"/>
      <c r="E76" s="58">
        <v>65</v>
      </c>
      <c r="F76" s="73" t="s">
        <v>289</v>
      </c>
      <c r="G76" s="59"/>
      <c r="H76" s="62">
        <f>ROUND((Source!AF47*Source!AV47+Source!AE47*Source!AV47)*(Source!FY47)/100,2)</f>
        <v>60.03</v>
      </c>
      <c r="I76" s="73">
        <f>T76</f>
        <v>0</v>
      </c>
      <c r="J76" s="59" t="s">
        <v>305</v>
      </c>
      <c r="K76" s="74">
        <f>U76</f>
        <v>3</v>
      </c>
      <c r="O76" s="19"/>
      <c r="P76" s="19"/>
      <c r="Q76" s="19"/>
      <c r="R76" s="19"/>
      <c r="S76" s="19"/>
      <c r="T76" s="19">
        <f>ROUND((ROUND(Source!AF47*Source!AV47*Source!I47,0)+ROUND(Source!AE47*Source!AV47*Source!I47,0))*(Source!FY47)/100,0)</f>
        <v>0</v>
      </c>
      <c r="U76" s="19">
        <f>Source!Y47</f>
        <v>3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>
        <f>T76</f>
        <v>0</v>
      </c>
      <c r="HA76" s="19"/>
      <c r="HB76" s="19"/>
      <c r="HC76" s="19">
        <f>T76</f>
        <v>0</v>
      </c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ht="13.5" thickBot="1" x14ac:dyDescent="0.25">
      <c r="A77" s="75"/>
      <c r="B77" s="76"/>
      <c r="C77" s="76" t="s">
        <v>293</v>
      </c>
      <c r="D77" s="77" t="s">
        <v>294</v>
      </c>
      <c r="E77" s="78">
        <v>9.6</v>
      </c>
      <c r="F77" s="79"/>
      <c r="G77" s="79"/>
      <c r="H77" s="79">
        <f>ROUND(Source!AH47,2)</f>
        <v>9.6</v>
      </c>
      <c r="I77" s="80">
        <f>Source!U47</f>
        <v>3.5520000000000003E-2</v>
      </c>
      <c r="J77" s="79"/>
      <c r="K77" s="8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64"/>
      <c r="B78" s="63"/>
      <c r="C78" s="63"/>
      <c r="D78" s="63"/>
      <c r="E78" s="63"/>
      <c r="F78" s="63"/>
      <c r="G78" s="63"/>
      <c r="H78" s="118">
        <f>R78</f>
        <v>0</v>
      </c>
      <c r="I78" s="119"/>
      <c r="J78" s="118">
        <f>S78</f>
        <v>14</v>
      </c>
      <c r="K78" s="120"/>
      <c r="O78" s="19"/>
      <c r="P78" s="19"/>
      <c r="Q78" s="19"/>
      <c r="R78" s="19">
        <f>SUM(T73:T77)</f>
        <v>0</v>
      </c>
      <c r="S78" s="19">
        <f>SUM(U73:U77)</f>
        <v>14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>
        <f>R78</f>
        <v>0</v>
      </c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ht="36" x14ac:dyDescent="0.2">
      <c r="A79" s="65">
        <v>4</v>
      </c>
      <c r="B79" s="72" t="s">
        <v>81</v>
      </c>
      <c r="C79" s="66" t="s">
        <v>82</v>
      </c>
      <c r="D79" s="67" t="s">
        <v>83</v>
      </c>
      <c r="E79" s="164">
        <v>0.501</v>
      </c>
      <c r="F79" s="69">
        <f>Source!AK51</f>
        <v>921.7</v>
      </c>
      <c r="G79" s="103" t="s">
        <v>6</v>
      </c>
      <c r="H79" s="69">
        <f>Source!AB51</f>
        <v>921.7</v>
      </c>
      <c r="I79" s="70"/>
      <c r="J79" s="104"/>
      <c r="K79" s="71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1"/>
      <c r="B80" s="48"/>
      <c r="C80" s="48" t="s">
        <v>286</v>
      </c>
      <c r="D80" s="49"/>
      <c r="E80" s="50"/>
      <c r="F80" s="52">
        <v>921.7</v>
      </c>
      <c r="G80" s="93"/>
      <c r="H80" s="52">
        <f>Source!AF51</f>
        <v>921.7</v>
      </c>
      <c r="I80" s="53">
        <f>T80</f>
        <v>462</v>
      </c>
      <c r="J80" s="93">
        <v>18.3</v>
      </c>
      <c r="K80" s="54">
        <f>U80</f>
        <v>8450</v>
      </c>
      <c r="O80" s="19"/>
      <c r="P80" s="19"/>
      <c r="Q80" s="19"/>
      <c r="R80" s="19"/>
      <c r="S80" s="19"/>
      <c r="T80" s="19">
        <f>ROUND(Source!AF51*Source!AV51*Source!I51,0)</f>
        <v>462</v>
      </c>
      <c r="U80" s="19">
        <f>Source!S51</f>
        <v>8450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>
        <f>T80</f>
        <v>462</v>
      </c>
      <c r="GK80" s="19">
        <f>T80</f>
        <v>462</v>
      </c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>
        <f>T80</f>
        <v>462</v>
      </c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60"/>
      <c r="B81" s="56"/>
      <c r="C81" s="56" t="s">
        <v>288</v>
      </c>
      <c r="D81" s="57"/>
      <c r="E81" s="58">
        <v>65</v>
      </c>
      <c r="F81" s="73" t="s">
        <v>289</v>
      </c>
      <c r="G81" s="59"/>
      <c r="H81" s="62">
        <f>ROUND((Source!AF51*Source!AV51+Source!AE51*Source!AV51)*(Source!FX51)/100,2)</f>
        <v>599.11</v>
      </c>
      <c r="I81" s="73">
        <f>T81</f>
        <v>300</v>
      </c>
      <c r="J81" s="59" t="s">
        <v>306</v>
      </c>
      <c r="K81" s="74">
        <f>U81</f>
        <v>4648</v>
      </c>
      <c r="O81" s="19"/>
      <c r="P81" s="19"/>
      <c r="Q81" s="19"/>
      <c r="R81" s="19"/>
      <c r="S81" s="19"/>
      <c r="T81" s="19">
        <f>ROUND((ROUND(Source!AF51*Source!AV51*Source!I51,0)+ROUND(Source!AE51*Source!AV51*Source!I51,0))*(Source!FX51)/100,0)</f>
        <v>300</v>
      </c>
      <c r="U81" s="19">
        <f>Source!X51</f>
        <v>4648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>
        <f>T81</f>
        <v>300</v>
      </c>
      <c r="GZ81" s="19"/>
      <c r="HA81" s="19"/>
      <c r="HB81" s="19"/>
      <c r="HC81" s="19"/>
      <c r="HD81" s="19"/>
      <c r="HE81" s="19">
        <f>T81</f>
        <v>300</v>
      </c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60"/>
      <c r="B82" s="56"/>
      <c r="C82" s="56" t="s">
        <v>291</v>
      </c>
      <c r="D82" s="57"/>
      <c r="E82" s="58">
        <v>40</v>
      </c>
      <c r="F82" s="73" t="s">
        <v>289</v>
      </c>
      <c r="G82" s="59"/>
      <c r="H82" s="62">
        <f>ROUND((Source!AF51*Source!AV51+Source!AE51*Source!AV51)*(Source!FY51)/100,2)</f>
        <v>368.68</v>
      </c>
      <c r="I82" s="73">
        <f>T82</f>
        <v>185</v>
      </c>
      <c r="J82" s="59" t="s">
        <v>307</v>
      </c>
      <c r="K82" s="74">
        <f>U82</f>
        <v>2704</v>
      </c>
      <c r="O82" s="19"/>
      <c r="P82" s="19"/>
      <c r="Q82" s="19"/>
      <c r="R82" s="19"/>
      <c r="S82" s="19"/>
      <c r="T82" s="19">
        <f>ROUND((ROUND(Source!AF51*Source!AV51*Source!I51,0)+ROUND(Source!AE51*Source!AV51*Source!I51,0))*(Source!FY51)/100,0)</f>
        <v>185</v>
      </c>
      <c r="U82" s="19">
        <f>Source!Y51</f>
        <v>2704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>
        <f>T82</f>
        <v>185</v>
      </c>
      <c r="HA82" s="19"/>
      <c r="HB82" s="19"/>
      <c r="HC82" s="19"/>
      <c r="HD82" s="19"/>
      <c r="HE82" s="19">
        <f>T82</f>
        <v>185</v>
      </c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ht="13.5" thickBot="1" x14ac:dyDescent="0.25">
      <c r="A83" s="75"/>
      <c r="B83" s="76"/>
      <c r="C83" s="76" t="s">
        <v>293</v>
      </c>
      <c r="D83" s="77" t="s">
        <v>294</v>
      </c>
      <c r="E83" s="78">
        <v>65</v>
      </c>
      <c r="F83" s="79"/>
      <c r="G83" s="79"/>
      <c r="H83" s="79">
        <f>ROUND(Source!AH51,2)</f>
        <v>65</v>
      </c>
      <c r="I83" s="80">
        <f>Source!U51</f>
        <v>32.564999999999998</v>
      </c>
      <c r="J83" s="79"/>
      <c r="K83" s="81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13.5" thickBot="1" x14ac:dyDescent="0.25">
      <c r="A84" s="64"/>
      <c r="B84" s="63"/>
      <c r="C84" s="63"/>
      <c r="D84" s="63"/>
      <c r="E84" s="63"/>
      <c r="F84" s="63"/>
      <c r="G84" s="63"/>
      <c r="H84" s="118">
        <f>R84</f>
        <v>947</v>
      </c>
      <c r="I84" s="119"/>
      <c r="J84" s="118">
        <f>S84</f>
        <v>15802</v>
      </c>
      <c r="K84" s="120"/>
      <c r="O84" s="19"/>
      <c r="P84" s="19"/>
      <c r="Q84" s="19"/>
      <c r="R84" s="19">
        <f>SUM(T79:T83)</f>
        <v>947</v>
      </c>
      <c r="S84" s="19">
        <f>SUM(U79:U83)</f>
        <v>15802</v>
      </c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>
        <f>R84</f>
        <v>947</v>
      </c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105"/>
      <c r="B85" s="105"/>
      <c r="C85" s="82" t="s">
        <v>308</v>
      </c>
      <c r="D85" s="82"/>
      <c r="E85" s="82"/>
      <c r="F85" s="82"/>
      <c r="G85" s="82"/>
      <c r="H85" s="121">
        <f>FM85</f>
        <v>71720</v>
      </c>
      <c r="I85" s="121"/>
      <c r="J85" s="121">
        <f>DP85</f>
        <v>558295</v>
      </c>
      <c r="K85" s="121"/>
      <c r="P85" s="19">
        <f>SUM(R46:R84)</f>
        <v>71720</v>
      </c>
      <c r="Q85" s="19">
        <f>SUM(S46:S84)</f>
        <v>558295</v>
      </c>
      <c r="R85" s="19"/>
      <c r="S85" s="19"/>
      <c r="T85" s="19"/>
      <c r="U85" s="19"/>
      <c r="V85" s="19"/>
      <c r="W85" s="19"/>
      <c r="X85" s="19"/>
      <c r="Y85" s="19">
        <v>513</v>
      </c>
      <c r="Z85" s="19" t="s">
        <v>309</v>
      </c>
      <c r="AA85" s="19"/>
      <c r="AB85" s="19" t="s">
        <v>265</v>
      </c>
      <c r="AC85" s="19" t="str">
        <f>Source!G53</f>
        <v>Новая локальная смета</v>
      </c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>
        <f>Source!DM53</f>
        <v>82.703744999999998</v>
      </c>
      <c r="CX85" s="19">
        <f>Source!DN53</f>
        <v>0</v>
      </c>
      <c r="CY85" s="19">
        <f>Source!DG53</f>
        <v>539435</v>
      </c>
      <c r="CZ85" s="19">
        <f>Source!DK53</f>
        <v>18370</v>
      </c>
      <c r="DA85" s="19">
        <f>Source!DI53</f>
        <v>0</v>
      </c>
      <c r="DB85" s="19">
        <f>Source!DJ53</f>
        <v>0</v>
      </c>
      <c r="DC85" s="19">
        <f>Source!DH53</f>
        <v>521065</v>
      </c>
      <c r="DD85" s="19">
        <f>Source!EG53</f>
        <v>0</v>
      </c>
      <c r="DE85" s="19">
        <f>Source!EN53</f>
        <v>521065</v>
      </c>
      <c r="DF85" s="19">
        <f>Source!EO53</f>
        <v>521065</v>
      </c>
      <c r="DG85" s="19">
        <f>Source!EP53</f>
        <v>0</v>
      </c>
      <c r="DH85" s="19">
        <f>Source!EQ53</f>
        <v>521065</v>
      </c>
      <c r="DI85" s="19">
        <f>Source!EH53</f>
        <v>0</v>
      </c>
      <c r="DJ85" s="19">
        <f>Source!EI53</f>
        <v>0</v>
      </c>
      <c r="DK85" s="19">
        <f>Source!ER53</f>
        <v>0</v>
      </c>
      <c r="DL85" s="19">
        <f>Source!DL53</f>
        <v>0</v>
      </c>
      <c r="DM85" s="19">
        <f>Source!DO53</f>
        <v>0</v>
      </c>
      <c r="DN85" s="19">
        <f>Source!DP53</f>
        <v>11394</v>
      </c>
      <c r="DO85" s="19">
        <f>Source!DQ53</f>
        <v>7466</v>
      </c>
      <c r="DP85" s="19">
        <f>Source!EJ53</f>
        <v>558295</v>
      </c>
      <c r="DQ85" s="19">
        <f>Source!EK53</f>
        <v>521065</v>
      </c>
      <c r="DR85" s="19">
        <f>Source!EL53</f>
        <v>21428</v>
      </c>
      <c r="DS85" s="19">
        <f>Source!EH53</f>
        <v>0</v>
      </c>
      <c r="DT85" s="19">
        <f>Source!EM53</f>
        <v>15802</v>
      </c>
      <c r="DU85" s="19">
        <f>Source!EK53+Source!EL53</f>
        <v>542493</v>
      </c>
      <c r="DV85" s="19"/>
      <c r="DW85" s="19">
        <f>Source!ES53</f>
        <v>0</v>
      </c>
      <c r="DX85" s="19">
        <f>Source!ET53</f>
        <v>0</v>
      </c>
      <c r="DY85" s="19">
        <f>Source!EU53</f>
        <v>0</v>
      </c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>
        <f>Source!DM53</f>
        <v>82.703744999999998</v>
      </c>
      <c r="EU85" s="19">
        <f>Source!DN53</f>
        <v>0</v>
      </c>
      <c r="EV85" s="19">
        <f t="shared" ref="EV85:FQ85" si="0">SUM(GJ46:GJ84)</f>
        <v>70478</v>
      </c>
      <c r="EW85" s="19">
        <f t="shared" si="0"/>
        <v>1003</v>
      </c>
      <c r="EX85" s="19">
        <f t="shared" si="0"/>
        <v>0</v>
      </c>
      <c r="EY85" s="19">
        <f t="shared" si="0"/>
        <v>0</v>
      </c>
      <c r="EZ85" s="19">
        <f t="shared" si="0"/>
        <v>69475</v>
      </c>
      <c r="FA85" s="19">
        <f t="shared" si="0"/>
        <v>0</v>
      </c>
      <c r="FB85" s="19">
        <f t="shared" si="0"/>
        <v>69475</v>
      </c>
      <c r="FC85" s="19">
        <f t="shared" si="0"/>
        <v>69475</v>
      </c>
      <c r="FD85" s="19">
        <f t="shared" si="0"/>
        <v>0</v>
      </c>
      <c r="FE85" s="19">
        <f t="shared" si="0"/>
        <v>69475</v>
      </c>
      <c r="FF85" s="19">
        <f t="shared" si="0"/>
        <v>0</v>
      </c>
      <c r="FG85" s="19">
        <f t="shared" si="0"/>
        <v>0</v>
      </c>
      <c r="FH85" s="19">
        <f t="shared" si="0"/>
        <v>0</v>
      </c>
      <c r="FI85" s="19">
        <f t="shared" si="0"/>
        <v>0</v>
      </c>
      <c r="FJ85" s="19">
        <f t="shared" si="0"/>
        <v>0</v>
      </c>
      <c r="FK85" s="19">
        <f t="shared" si="0"/>
        <v>732</v>
      </c>
      <c r="FL85" s="19">
        <f t="shared" si="0"/>
        <v>510</v>
      </c>
      <c r="FM85" s="19">
        <f t="shared" si="0"/>
        <v>71720</v>
      </c>
      <c r="FN85" s="19">
        <f t="shared" si="0"/>
        <v>69475</v>
      </c>
      <c r="FO85" s="19">
        <f t="shared" si="0"/>
        <v>1298</v>
      </c>
      <c r="FP85" s="19">
        <f t="shared" si="0"/>
        <v>0</v>
      </c>
      <c r="FQ85" s="19">
        <f t="shared" si="0"/>
        <v>947</v>
      </c>
      <c r="FR85" s="19">
        <f>FN85+FO85</f>
        <v>70773</v>
      </c>
      <c r="FS85" s="19">
        <f>SUM(HG46:HG84)</f>
        <v>0</v>
      </c>
      <c r="FT85" s="19">
        <f>SUM(HH46:HH84)</f>
        <v>0</v>
      </c>
      <c r="FU85" s="19">
        <f>SUM(HI46:HI84)</f>
        <v>0</v>
      </c>
      <c r="FV85" s="19">
        <f>SUM(HJ46:HJ84)</f>
        <v>0</v>
      </c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90"/>
      <c r="B86" s="90"/>
      <c r="C86" s="90"/>
      <c r="D86" s="90"/>
      <c r="E86" s="90"/>
      <c r="F86" s="90"/>
      <c r="G86" s="90"/>
      <c r="H86" s="117"/>
      <c r="I86" s="117"/>
      <c r="J86" s="117"/>
      <c r="K86" s="117"/>
    </row>
    <row r="87" spans="1:255" x14ac:dyDescent="0.2">
      <c r="A87" s="90"/>
      <c r="B87" s="90"/>
      <c r="C87" s="20" t="s">
        <v>89</v>
      </c>
      <c r="D87" s="20"/>
      <c r="E87" s="20"/>
      <c r="F87" s="20"/>
      <c r="G87" s="20"/>
      <c r="H87" s="111">
        <f>EV85</f>
        <v>70478</v>
      </c>
      <c r="I87" s="111"/>
      <c r="J87" s="111">
        <f>CY85</f>
        <v>539435</v>
      </c>
      <c r="K87" s="112"/>
    </row>
    <row r="88" spans="1:255" x14ac:dyDescent="0.2">
      <c r="A88" s="90"/>
      <c r="B88" s="90"/>
      <c r="C88" s="20" t="s">
        <v>312</v>
      </c>
      <c r="D88" s="20"/>
      <c r="E88" s="20"/>
      <c r="F88" s="20"/>
      <c r="G88" s="20"/>
      <c r="H88" s="116"/>
      <c r="I88" s="116"/>
      <c r="J88" s="116"/>
      <c r="K88" s="117"/>
    </row>
    <row r="89" spans="1:255" x14ac:dyDescent="0.2">
      <c r="A89" s="90"/>
      <c r="B89" s="90"/>
      <c r="C89" s="20" t="s">
        <v>313</v>
      </c>
      <c r="D89" s="20"/>
      <c r="E89" s="20"/>
      <c r="F89" s="20"/>
      <c r="G89" s="20"/>
      <c r="H89" s="111">
        <f>EW85</f>
        <v>1003</v>
      </c>
      <c r="I89" s="111"/>
      <c r="J89" s="111">
        <f>CZ85</f>
        <v>18370</v>
      </c>
      <c r="K89" s="112"/>
    </row>
    <row r="90" spans="1:255" hidden="1" x14ac:dyDescent="0.2">
      <c r="A90" s="90"/>
      <c r="B90" s="90"/>
      <c r="C90" s="20" t="s">
        <v>314</v>
      </c>
      <c r="D90" s="20"/>
      <c r="E90" s="20"/>
      <c r="F90" s="20"/>
      <c r="G90" s="20"/>
      <c r="H90" s="111">
        <f>EX85</f>
        <v>0</v>
      </c>
      <c r="I90" s="111"/>
      <c r="J90" s="111">
        <f>DA85</f>
        <v>0</v>
      </c>
      <c r="K90" s="112"/>
    </row>
    <row r="91" spans="1:255" x14ac:dyDescent="0.2">
      <c r="A91" s="90"/>
      <c r="B91" s="90"/>
      <c r="C91" s="20" t="s">
        <v>315</v>
      </c>
      <c r="D91" s="20"/>
      <c r="E91" s="20"/>
      <c r="F91" s="20"/>
      <c r="G91" s="20"/>
      <c r="H91" s="111">
        <f>EZ85</f>
        <v>69475</v>
      </c>
      <c r="I91" s="111"/>
      <c r="J91" s="111">
        <f>DC85</f>
        <v>521065</v>
      </c>
      <c r="K91" s="112"/>
    </row>
    <row r="92" spans="1:255" x14ac:dyDescent="0.2">
      <c r="A92" s="90"/>
      <c r="B92" s="90"/>
      <c r="C92" s="20"/>
      <c r="D92" s="20"/>
      <c r="E92" s="20"/>
      <c r="F92" s="20"/>
      <c r="G92" s="20"/>
      <c r="H92" s="116"/>
      <c r="I92" s="116"/>
      <c r="J92" s="116"/>
      <c r="K92" s="117"/>
    </row>
    <row r="93" spans="1:255" x14ac:dyDescent="0.2">
      <c r="A93" s="90"/>
      <c r="B93" s="90"/>
      <c r="C93" s="20" t="s">
        <v>316</v>
      </c>
      <c r="D93" s="20"/>
      <c r="E93" s="20"/>
      <c r="F93" s="20"/>
      <c r="G93" s="20"/>
      <c r="H93" s="111">
        <f>FK85</f>
        <v>732</v>
      </c>
      <c r="I93" s="111"/>
      <c r="J93" s="111">
        <f>DN85</f>
        <v>11394</v>
      </c>
      <c r="K93" s="112"/>
    </row>
    <row r="94" spans="1:255" x14ac:dyDescent="0.2">
      <c r="A94" s="90"/>
      <c r="B94" s="90"/>
      <c r="C94" s="20" t="s">
        <v>317</v>
      </c>
      <c r="D94" s="20"/>
      <c r="E94" s="20"/>
      <c r="F94" s="20"/>
      <c r="G94" s="20"/>
      <c r="H94" s="111">
        <f>FL85</f>
        <v>510</v>
      </c>
      <c r="I94" s="111"/>
      <c r="J94" s="111">
        <f>DO85</f>
        <v>7466</v>
      </c>
      <c r="K94" s="112"/>
    </row>
    <row r="95" spans="1:255" x14ac:dyDescent="0.2">
      <c r="A95" s="90"/>
      <c r="B95" s="90"/>
      <c r="C95" s="20" t="s">
        <v>318</v>
      </c>
      <c r="D95" s="20"/>
      <c r="E95" s="20"/>
      <c r="F95" s="20"/>
      <c r="G95" s="20"/>
      <c r="H95" s="111">
        <f>FM85</f>
        <v>71720</v>
      </c>
      <c r="I95" s="111"/>
      <c r="J95" s="111">
        <f>DP85</f>
        <v>558295</v>
      </c>
      <c r="K95" s="112"/>
    </row>
    <row r="96" spans="1:255" x14ac:dyDescent="0.2">
      <c r="A96" s="90"/>
      <c r="B96" s="90"/>
      <c r="C96" s="20" t="s">
        <v>319</v>
      </c>
      <c r="D96" s="20"/>
      <c r="E96" s="20"/>
      <c r="F96" s="20"/>
      <c r="G96" s="20"/>
      <c r="H96" s="116"/>
      <c r="I96" s="116"/>
      <c r="J96" s="116"/>
      <c r="K96" s="117"/>
    </row>
    <row r="97" spans="1:255" x14ac:dyDescent="0.2">
      <c r="A97" s="90"/>
      <c r="B97" s="90"/>
      <c r="C97" s="20" t="s">
        <v>320</v>
      </c>
      <c r="D97" s="20"/>
      <c r="E97" s="20"/>
      <c r="F97" s="20"/>
      <c r="G97" s="20"/>
      <c r="H97" s="111">
        <f>FN85</f>
        <v>69475</v>
      </c>
      <c r="I97" s="111"/>
      <c r="J97" s="111">
        <f>DQ85</f>
        <v>521065</v>
      </c>
      <c r="K97" s="112"/>
    </row>
    <row r="98" spans="1:255" x14ac:dyDescent="0.2">
      <c r="A98" s="90"/>
      <c r="B98" s="90"/>
      <c r="C98" s="20" t="s">
        <v>321</v>
      </c>
      <c r="D98" s="20"/>
      <c r="E98" s="20"/>
      <c r="F98" s="20"/>
      <c r="G98" s="20"/>
      <c r="H98" s="111">
        <f>FO85</f>
        <v>1298</v>
      </c>
      <c r="I98" s="111"/>
      <c r="J98" s="111">
        <f>DR85</f>
        <v>21428</v>
      </c>
      <c r="K98" s="112"/>
    </row>
    <row r="99" spans="1:255" hidden="1" x14ac:dyDescent="0.2">
      <c r="A99" s="90"/>
      <c r="B99" s="90"/>
      <c r="C99" s="20" t="s">
        <v>322</v>
      </c>
      <c r="D99" s="20"/>
      <c r="E99" s="20"/>
      <c r="F99" s="20"/>
      <c r="G99" s="20"/>
      <c r="H99" s="111">
        <f>FP85</f>
        <v>0</v>
      </c>
      <c r="I99" s="111"/>
      <c r="J99" s="111">
        <f>DS85</f>
        <v>0</v>
      </c>
      <c r="K99" s="112"/>
    </row>
    <row r="100" spans="1:255" x14ac:dyDescent="0.2">
      <c r="A100" s="90"/>
      <c r="B100" s="90"/>
      <c r="C100" s="20" t="s">
        <v>323</v>
      </c>
      <c r="D100" s="20"/>
      <c r="E100" s="20"/>
      <c r="F100" s="20"/>
      <c r="G100" s="20"/>
      <c r="H100" s="111">
        <f>FQ85</f>
        <v>947</v>
      </c>
      <c r="I100" s="111"/>
      <c r="J100" s="111">
        <f>DT85</f>
        <v>15802</v>
      </c>
      <c r="K100" s="112"/>
    </row>
    <row r="101" spans="1:255" x14ac:dyDescent="0.2">
      <c r="A101" s="90"/>
      <c r="B101" s="90"/>
      <c r="C101" s="20"/>
      <c r="D101" s="20"/>
      <c r="E101" s="20"/>
      <c r="F101" s="20"/>
      <c r="G101" s="20"/>
      <c r="H101" s="116"/>
      <c r="I101" s="116"/>
      <c r="J101" s="116"/>
      <c r="K101" s="117"/>
    </row>
    <row r="102" spans="1:255" x14ac:dyDescent="0.2">
      <c r="A102" s="90"/>
      <c r="B102" s="90"/>
      <c r="C102" s="20" t="s">
        <v>324</v>
      </c>
      <c r="D102" s="20"/>
      <c r="E102" s="20"/>
      <c r="F102" s="20"/>
      <c r="G102" s="20"/>
      <c r="H102" s="111">
        <f>H95</f>
        <v>71720</v>
      </c>
      <c r="I102" s="111"/>
      <c r="J102" s="111">
        <f>J95</f>
        <v>558295</v>
      </c>
      <c r="K102" s="112"/>
    </row>
    <row r="103" spans="1:255" hidden="1" x14ac:dyDescent="0.2">
      <c r="A103" s="90"/>
      <c r="B103" s="90"/>
      <c r="C103" s="20" t="s">
        <v>325</v>
      </c>
      <c r="D103" s="20"/>
      <c r="E103" s="83">
        <v>18</v>
      </c>
      <c r="F103" s="84" t="s">
        <v>289</v>
      </c>
      <c r="G103" s="20"/>
      <c r="H103" s="20"/>
      <c r="I103" s="20"/>
      <c r="J103" s="113">
        <f>ROUND(J102*E103/100,2)</f>
        <v>100493.1</v>
      </c>
      <c r="K103" s="114"/>
    </row>
    <row r="104" spans="1:255" hidden="1" x14ac:dyDescent="0.2">
      <c r="A104" s="90"/>
      <c r="B104" s="90"/>
      <c r="C104" s="20" t="s">
        <v>326</v>
      </c>
      <c r="D104" s="20"/>
      <c r="E104" s="20"/>
      <c r="F104" s="20"/>
      <c r="G104" s="20"/>
      <c r="H104" s="20"/>
      <c r="I104" s="20"/>
      <c r="J104" s="113">
        <f>J103+J102</f>
        <v>658788.1</v>
      </c>
      <c r="K104" s="115"/>
    </row>
    <row r="105" spans="1:255" x14ac:dyDescent="0.2">
      <c r="A105" s="90"/>
      <c r="B105" s="90"/>
      <c r="C105" s="20"/>
      <c r="D105" s="20"/>
      <c r="E105" s="20"/>
      <c r="F105" s="20"/>
      <c r="G105" s="20"/>
      <c r="H105" s="20"/>
      <c r="I105" s="20"/>
      <c r="J105" s="116"/>
      <c r="K105" s="116"/>
    </row>
    <row r="106" spans="1:255" hidden="1" outlineLevel="1" x14ac:dyDescent="0.2">
      <c r="A106" s="90"/>
      <c r="B106" s="90"/>
      <c r="C106" s="20"/>
      <c r="D106" s="20"/>
      <c r="E106" s="20"/>
      <c r="F106" s="20"/>
      <c r="G106" s="20"/>
      <c r="H106" s="20"/>
      <c r="I106" s="20"/>
      <c r="J106" s="20"/>
      <c r="K106" s="90"/>
    </row>
    <row r="107" spans="1:255" hidden="1" outlineLevel="1" x14ac:dyDescent="0.2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1:255" hidden="1" outlineLevel="1" x14ac:dyDescent="0.2">
      <c r="A108" s="85" t="s">
        <v>327</v>
      </c>
      <c r="B108" s="85"/>
      <c r="C108" s="110"/>
      <c r="D108" s="110"/>
      <c r="E108" s="110"/>
      <c r="F108" s="110"/>
      <c r="G108" s="86"/>
      <c r="H108" s="86"/>
      <c r="I108" s="110"/>
      <c r="J108" s="110"/>
      <c r="K108" s="90"/>
      <c r="BY108" s="87">
        <f>C108</f>
        <v>0</v>
      </c>
      <c r="BZ108" s="87">
        <f>I108</f>
        <v>0</v>
      </c>
      <c r="IU108" s="19"/>
    </row>
    <row r="109" spans="1:255" s="89" customFormat="1" ht="11.25" hidden="1" outlineLevel="1" x14ac:dyDescent="0.2">
      <c r="A109" s="88"/>
      <c r="B109" s="88"/>
      <c r="C109" s="109" t="s">
        <v>328</v>
      </c>
      <c r="D109" s="109"/>
      <c r="E109" s="109"/>
      <c r="F109" s="109"/>
      <c r="G109" s="109"/>
      <c r="H109" s="109"/>
      <c r="I109" s="109" t="s">
        <v>329</v>
      </c>
      <c r="J109" s="109"/>
    </row>
    <row r="110" spans="1:255" hidden="1" outlineLevel="1" x14ac:dyDescent="0.2">
      <c r="A110" s="106"/>
      <c r="B110" s="106"/>
      <c r="C110" s="106"/>
      <c r="D110" s="106"/>
      <c r="E110" s="106"/>
      <c r="F110" s="106"/>
      <c r="G110" s="107" t="s">
        <v>330</v>
      </c>
      <c r="H110" s="106"/>
      <c r="I110" s="106"/>
      <c r="J110" s="106"/>
      <c r="K110" s="90"/>
    </row>
    <row r="111" spans="1:255" hidden="1" outlineLevel="1" x14ac:dyDescent="0.2">
      <c r="A111" s="85" t="s">
        <v>331</v>
      </c>
      <c r="B111" s="85"/>
      <c r="C111" s="110"/>
      <c r="D111" s="110"/>
      <c r="E111" s="110"/>
      <c r="F111" s="110"/>
      <c r="G111" s="86"/>
      <c r="H111" s="86"/>
      <c r="I111" s="110"/>
      <c r="J111" s="110"/>
      <c r="K111" s="90"/>
      <c r="BY111" s="87">
        <f>C111</f>
        <v>0</v>
      </c>
      <c r="BZ111" s="87">
        <f>I111</f>
        <v>0</v>
      </c>
      <c r="IU111" s="19"/>
    </row>
    <row r="112" spans="1:255" s="89" customFormat="1" ht="11.25" hidden="1" outlineLevel="1" x14ac:dyDescent="0.2">
      <c r="A112" s="88"/>
      <c r="B112" s="88"/>
      <c r="C112" s="109" t="s">
        <v>328</v>
      </c>
      <c r="D112" s="109"/>
      <c r="E112" s="109"/>
      <c r="F112" s="109"/>
      <c r="G112" s="109"/>
      <c r="H112" s="109"/>
      <c r="I112" s="109" t="s">
        <v>329</v>
      </c>
      <c r="J112" s="109"/>
    </row>
    <row r="113" spans="1:255" hidden="1" outlineLevel="1" x14ac:dyDescent="0.2">
      <c r="A113" s="106"/>
      <c r="B113" s="106"/>
      <c r="C113" s="106"/>
      <c r="D113" s="106"/>
      <c r="E113" s="106"/>
      <c r="F113" s="106"/>
      <c r="G113" s="107" t="s">
        <v>330</v>
      </c>
      <c r="H113" s="106"/>
      <c r="I113" s="106"/>
      <c r="J113" s="106"/>
      <c r="K113" s="90"/>
    </row>
    <row r="114" spans="1:255" collapsed="1" x14ac:dyDescent="0.2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1:255" outlineLevel="1" x14ac:dyDescent="0.2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1:255" outlineLevel="1" x14ac:dyDescent="0.2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1:255" outlineLevel="1" x14ac:dyDescent="0.2">
      <c r="A117" s="85" t="s">
        <v>239</v>
      </c>
      <c r="B117" s="85"/>
      <c r="C117" s="110"/>
      <c r="D117" s="110"/>
      <c r="E117" s="110"/>
      <c r="F117" s="110"/>
      <c r="G117" s="86"/>
      <c r="H117" s="86"/>
      <c r="I117" s="110"/>
      <c r="J117" s="110"/>
      <c r="K117" s="90"/>
      <c r="BY117" s="87">
        <f>C117</f>
        <v>0</v>
      </c>
      <c r="BZ117" s="87">
        <f>I117</f>
        <v>0</v>
      </c>
      <c r="IU117" s="19"/>
    </row>
    <row r="118" spans="1:255" s="89" customFormat="1" ht="11.25" outlineLevel="1" x14ac:dyDescent="0.2">
      <c r="A118" s="88"/>
      <c r="B118" s="88"/>
      <c r="C118" s="109" t="s">
        <v>328</v>
      </c>
      <c r="D118" s="109"/>
      <c r="E118" s="109"/>
      <c r="F118" s="109"/>
      <c r="G118" s="109"/>
      <c r="H118" s="109"/>
      <c r="I118" s="109" t="s">
        <v>329</v>
      </c>
      <c r="J118" s="109"/>
    </row>
    <row r="119" spans="1:255" outlineLevel="1" x14ac:dyDescent="0.2">
      <c r="A119" s="106"/>
      <c r="B119" s="106"/>
      <c r="C119" s="106"/>
      <c r="D119" s="106"/>
      <c r="E119" s="106"/>
      <c r="F119" s="106"/>
      <c r="G119" s="107" t="s">
        <v>330</v>
      </c>
      <c r="H119" s="106"/>
      <c r="I119" s="106"/>
      <c r="J119" s="106"/>
      <c r="K119" s="90"/>
    </row>
    <row r="120" spans="1:255" outlineLevel="1" x14ac:dyDescent="0.2">
      <c r="A120" s="85" t="s">
        <v>334</v>
      </c>
      <c r="B120" s="85"/>
      <c r="C120" s="110"/>
      <c r="D120" s="110"/>
      <c r="E120" s="110"/>
      <c r="F120" s="110"/>
      <c r="G120" s="86"/>
      <c r="H120" s="86"/>
      <c r="I120" s="110"/>
      <c r="J120" s="110"/>
      <c r="K120" s="90"/>
      <c r="BY120" s="87">
        <f>C120</f>
        <v>0</v>
      </c>
      <c r="BZ120" s="87">
        <f>I120</f>
        <v>0</v>
      </c>
      <c r="IU120" s="19"/>
    </row>
    <row r="121" spans="1:255" s="89" customFormat="1" ht="11.25" outlineLevel="1" x14ac:dyDescent="0.2">
      <c r="A121" s="88"/>
      <c r="B121" s="88"/>
      <c r="C121" s="109" t="s">
        <v>328</v>
      </c>
      <c r="D121" s="109"/>
      <c r="E121" s="109"/>
      <c r="F121" s="109"/>
      <c r="G121" s="109"/>
      <c r="H121" s="109"/>
      <c r="I121" s="109" t="s">
        <v>329</v>
      </c>
      <c r="J121" s="109"/>
    </row>
    <row r="122" spans="1:255" outlineLevel="1" x14ac:dyDescent="0.2">
      <c r="A122" s="106"/>
      <c r="B122" s="106"/>
      <c r="C122" s="106"/>
      <c r="D122" s="106"/>
      <c r="E122" s="106"/>
      <c r="F122" s="106"/>
      <c r="G122" s="107" t="s">
        <v>330</v>
      </c>
      <c r="H122" s="106"/>
      <c r="I122" s="106"/>
      <c r="J122" s="106"/>
      <c r="K122" s="90"/>
    </row>
    <row r="123" spans="1:255" x14ac:dyDescent="0.2">
      <c r="A123" s="90"/>
      <c r="B123" s="90"/>
      <c r="C123" s="90"/>
      <c r="D123" s="90"/>
      <c r="E123" s="90"/>
      <c r="F123" s="90"/>
      <c r="G123" s="90"/>
      <c r="H123" s="90"/>
      <c r="I123" s="90"/>
      <c r="K123" s="90"/>
    </row>
    <row r="124" spans="1:255" x14ac:dyDescent="0.2">
      <c r="A124" s="108"/>
      <c r="B124" s="108"/>
      <c r="C124" s="90"/>
      <c r="D124" s="90"/>
      <c r="E124" s="90"/>
      <c r="F124" s="90"/>
      <c r="G124" s="90"/>
      <c r="H124" s="90"/>
      <c r="I124" s="90"/>
      <c r="J124" s="90"/>
      <c r="K124" s="90"/>
      <c r="Y124" s="19">
        <v>999</v>
      </c>
      <c r="Z124" s="19" t="s">
        <v>332</v>
      </c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</row>
  </sheetData>
  <mergeCells count="111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84:I84"/>
    <mergeCell ref="J84:K84"/>
    <mergeCell ref="H85:I85"/>
    <mergeCell ref="J85:K85"/>
    <mergeCell ref="H86:I86"/>
    <mergeCell ref="J86:K86"/>
    <mergeCell ref="H63:I63"/>
    <mergeCell ref="J63:K63"/>
    <mergeCell ref="H72:I72"/>
    <mergeCell ref="J72:K72"/>
    <mergeCell ref="H78:I78"/>
    <mergeCell ref="J78:K78"/>
    <mergeCell ref="H90:I90"/>
    <mergeCell ref="J90:K90"/>
    <mergeCell ref="H91:I91"/>
    <mergeCell ref="J91:K91"/>
    <mergeCell ref="H92:I92"/>
    <mergeCell ref="J92:K92"/>
    <mergeCell ref="H87:I87"/>
    <mergeCell ref="J87:K87"/>
    <mergeCell ref="H88:I88"/>
    <mergeCell ref="J88:K88"/>
    <mergeCell ref="H89:I89"/>
    <mergeCell ref="J89:K89"/>
    <mergeCell ref="H96:I96"/>
    <mergeCell ref="J96:K96"/>
    <mergeCell ref="H97:I97"/>
    <mergeCell ref="J97:K97"/>
    <mergeCell ref="H98:I98"/>
    <mergeCell ref="J98:K98"/>
    <mergeCell ref="H93:I93"/>
    <mergeCell ref="J93:K93"/>
    <mergeCell ref="H94:I94"/>
    <mergeCell ref="J94:K94"/>
    <mergeCell ref="H95:I95"/>
    <mergeCell ref="J95:K95"/>
    <mergeCell ref="H102:I102"/>
    <mergeCell ref="J102:K102"/>
    <mergeCell ref="J103:K103"/>
    <mergeCell ref="J104:K104"/>
    <mergeCell ref="J105:K105"/>
    <mergeCell ref="C108:F108"/>
    <mergeCell ref="I108:J108"/>
    <mergeCell ref="H99:I99"/>
    <mergeCell ref="J99:K99"/>
    <mergeCell ref="H100:I100"/>
    <mergeCell ref="J100:K100"/>
    <mergeCell ref="H101:I101"/>
    <mergeCell ref="J101:K101"/>
    <mergeCell ref="C121:H121"/>
    <mergeCell ref="I121:J121"/>
    <mergeCell ref="C117:F117"/>
    <mergeCell ref="I117:J117"/>
    <mergeCell ref="C118:H118"/>
    <mergeCell ref="I118:J118"/>
    <mergeCell ref="C120:F120"/>
    <mergeCell ref="I120:J120"/>
    <mergeCell ref="C109:H109"/>
    <mergeCell ref="I109:J109"/>
    <mergeCell ref="C111:F111"/>
    <mergeCell ref="I111:J111"/>
    <mergeCell ref="C112:H112"/>
    <mergeCell ref="I112:J112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1"/>
  <sheetViews>
    <sheetView workbookViewId="0">
      <selection activeCell="A147" sqref="A147:AH14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1</v>
      </c>
      <c r="H5" t="s">
        <v>229</v>
      </c>
    </row>
    <row r="6" spans="1:133" x14ac:dyDescent="0.2">
      <c r="G6">
        <v>10</v>
      </c>
      <c r="H6" t="s">
        <v>225</v>
      </c>
    </row>
    <row r="7" spans="1:133" x14ac:dyDescent="0.2">
      <c r="G7">
        <v>2</v>
      </c>
      <c r="H7" t="s">
        <v>226</v>
      </c>
    </row>
    <row r="8" spans="1:133" x14ac:dyDescent="0.2">
      <c r="G8">
        <f>IF((Source!AR53&lt;&gt;'1.Смета.или.Акт'!P85),0,1)</f>
        <v>1</v>
      </c>
      <c r="H8" t="s">
        <v>310</v>
      </c>
    </row>
    <row r="9" spans="1:133" x14ac:dyDescent="0.2">
      <c r="G9" s="11" t="s">
        <v>227</v>
      </c>
      <c r="H9" t="s">
        <v>228</v>
      </c>
    </row>
    <row r="12" spans="1:133" x14ac:dyDescent="0.2">
      <c r="A12" s="1">
        <v>1</v>
      </c>
      <c r="B12" s="1">
        <v>145</v>
      </c>
      <c r="C12" s="1">
        <v>0</v>
      </c>
      <c r="D12" s="1">
        <f>ROW(A82)</f>
        <v>82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B82</f>
        <v>145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СКС</v>
      </c>
      <c r="H18" s="3"/>
      <c r="I18" s="3"/>
      <c r="J18" s="3"/>
      <c r="K18" s="3"/>
      <c r="L18" s="3"/>
      <c r="M18" s="3"/>
      <c r="N18" s="3"/>
      <c r="O18" s="3">
        <f t="shared" ref="O18:AT18" si="1">O82</f>
        <v>70478</v>
      </c>
      <c r="P18" s="3">
        <f t="shared" si="1"/>
        <v>69475</v>
      </c>
      <c r="Q18" s="3">
        <f t="shared" si="1"/>
        <v>0</v>
      </c>
      <c r="R18" s="3">
        <f t="shared" si="1"/>
        <v>0</v>
      </c>
      <c r="S18" s="3">
        <f t="shared" si="1"/>
        <v>1003</v>
      </c>
      <c r="T18" s="3">
        <f t="shared" si="1"/>
        <v>0</v>
      </c>
      <c r="U18" s="3">
        <f t="shared" si="1"/>
        <v>82.703744999999998</v>
      </c>
      <c r="V18" s="3">
        <f t="shared" si="1"/>
        <v>0</v>
      </c>
      <c r="W18" s="3">
        <f t="shared" si="1"/>
        <v>0</v>
      </c>
      <c r="X18" s="3">
        <f t="shared" si="1"/>
        <v>732</v>
      </c>
      <c r="Y18" s="3">
        <f t="shared" si="1"/>
        <v>510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71720</v>
      </c>
      <c r="AS18" s="3">
        <f t="shared" si="1"/>
        <v>69475</v>
      </c>
      <c r="AT18" s="3">
        <f t="shared" si="1"/>
        <v>1298</v>
      </c>
      <c r="AU18" s="3">
        <f t="shared" ref="AU18:BZ18" si="2">AU82</f>
        <v>947</v>
      </c>
      <c r="AV18" s="3">
        <f t="shared" si="2"/>
        <v>69475</v>
      </c>
      <c r="AW18" s="3">
        <f t="shared" si="2"/>
        <v>69475</v>
      </c>
      <c r="AX18" s="3">
        <f t="shared" si="2"/>
        <v>0</v>
      </c>
      <c r="AY18" s="3">
        <f t="shared" si="2"/>
        <v>69475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DG82</f>
        <v>539435</v>
      </c>
      <c r="DH18" s="4">
        <f t="shared" si="4"/>
        <v>521065</v>
      </c>
      <c r="DI18" s="4">
        <f t="shared" si="4"/>
        <v>0</v>
      </c>
      <c r="DJ18" s="4">
        <f t="shared" si="4"/>
        <v>0</v>
      </c>
      <c r="DK18" s="4">
        <f t="shared" si="4"/>
        <v>18370</v>
      </c>
      <c r="DL18" s="4">
        <f t="shared" si="4"/>
        <v>0</v>
      </c>
      <c r="DM18" s="4">
        <f t="shared" si="4"/>
        <v>82.703744999999998</v>
      </c>
      <c r="DN18" s="4">
        <f t="shared" si="4"/>
        <v>0</v>
      </c>
      <c r="DO18" s="4">
        <f t="shared" si="4"/>
        <v>0</v>
      </c>
      <c r="DP18" s="4">
        <f t="shared" si="4"/>
        <v>11394</v>
      </c>
      <c r="DQ18" s="4">
        <f t="shared" si="4"/>
        <v>7466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558295</v>
      </c>
      <c r="EK18" s="4">
        <f t="shared" si="4"/>
        <v>521065</v>
      </c>
      <c r="EL18" s="4">
        <f t="shared" si="4"/>
        <v>21428</v>
      </c>
      <c r="EM18" s="4">
        <f t="shared" ref="EM18:FR18" si="5">EM82</f>
        <v>15802</v>
      </c>
      <c r="EN18" s="4">
        <f t="shared" si="5"/>
        <v>521065</v>
      </c>
      <c r="EO18" s="4">
        <f t="shared" si="5"/>
        <v>521065</v>
      </c>
      <c r="EP18" s="4">
        <f t="shared" si="5"/>
        <v>0</v>
      </c>
      <c r="EQ18" s="4">
        <f t="shared" si="5"/>
        <v>521065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ROW(A53)</f>
        <v>53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B53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O53</f>
        <v>70478</v>
      </c>
      <c r="P22" s="3">
        <f t="shared" si="8"/>
        <v>69475</v>
      </c>
      <c r="Q22" s="3">
        <f t="shared" si="8"/>
        <v>0</v>
      </c>
      <c r="R22" s="3">
        <f t="shared" si="8"/>
        <v>0</v>
      </c>
      <c r="S22" s="3">
        <f t="shared" si="8"/>
        <v>1003</v>
      </c>
      <c r="T22" s="3">
        <f t="shared" si="8"/>
        <v>0</v>
      </c>
      <c r="U22" s="3">
        <f t="shared" si="8"/>
        <v>82.703744999999998</v>
      </c>
      <c r="V22" s="3">
        <f t="shared" si="8"/>
        <v>0</v>
      </c>
      <c r="W22" s="3">
        <f t="shared" si="8"/>
        <v>0</v>
      </c>
      <c r="X22" s="3">
        <f t="shared" si="8"/>
        <v>732</v>
      </c>
      <c r="Y22" s="3">
        <f t="shared" si="8"/>
        <v>510</v>
      </c>
      <c r="Z22" s="3">
        <f t="shared" si="8"/>
        <v>0</v>
      </c>
      <c r="AA22" s="3">
        <f t="shared" si="8"/>
        <v>0</v>
      </c>
      <c r="AB22" s="3">
        <f t="shared" si="8"/>
        <v>70478</v>
      </c>
      <c r="AC22" s="3">
        <f t="shared" si="8"/>
        <v>69475</v>
      </c>
      <c r="AD22" s="3">
        <f t="shared" si="8"/>
        <v>0</v>
      </c>
      <c r="AE22" s="3">
        <f t="shared" si="8"/>
        <v>0</v>
      </c>
      <c r="AF22" s="3">
        <f t="shared" si="8"/>
        <v>1003</v>
      </c>
      <c r="AG22" s="3">
        <f t="shared" si="8"/>
        <v>0</v>
      </c>
      <c r="AH22" s="3">
        <f t="shared" si="8"/>
        <v>82.703744999999998</v>
      </c>
      <c r="AI22" s="3">
        <f t="shared" si="8"/>
        <v>0</v>
      </c>
      <c r="AJ22" s="3">
        <f t="shared" si="8"/>
        <v>0</v>
      </c>
      <c r="AK22" s="3">
        <f t="shared" si="8"/>
        <v>732</v>
      </c>
      <c r="AL22" s="3">
        <f t="shared" si="8"/>
        <v>510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71720</v>
      </c>
      <c r="AS22" s="3">
        <f t="shared" si="8"/>
        <v>69475</v>
      </c>
      <c r="AT22" s="3">
        <f t="shared" si="8"/>
        <v>1298</v>
      </c>
      <c r="AU22" s="3">
        <f t="shared" ref="AU22:BZ22" si="9">AU53</f>
        <v>947</v>
      </c>
      <c r="AV22" s="3">
        <f t="shared" si="9"/>
        <v>69475</v>
      </c>
      <c r="AW22" s="3">
        <f t="shared" si="9"/>
        <v>69475</v>
      </c>
      <c r="AX22" s="3">
        <f t="shared" si="9"/>
        <v>0</v>
      </c>
      <c r="AY22" s="3">
        <f t="shared" si="9"/>
        <v>69475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CA53</f>
        <v>71720</v>
      </c>
      <c r="CB22" s="3">
        <f t="shared" si="10"/>
        <v>69475</v>
      </c>
      <c r="CC22" s="3">
        <f t="shared" si="10"/>
        <v>1298</v>
      </c>
      <c r="CD22" s="3">
        <f t="shared" si="10"/>
        <v>947</v>
      </c>
      <c r="CE22" s="3">
        <f t="shared" si="10"/>
        <v>69475</v>
      </c>
      <c r="CF22" s="3">
        <f t="shared" si="10"/>
        <v>69475</v>
      </c>
      <c r="CG22" s="3">
        <f t="shared" si="10"/>
        <v>0</v>
      </c>
      <c r="CH22" s="3">
        <f t="shared" si="10"/>
        <v>69475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DG53</f>
        <v>539435</v>
      </c>
      <c r="DH22" s="4">
        <f t="shared" si="11"/>
        <v>521065</v>
      </c>
      <c r="DI22" s="4">
        <f t="shared" si="11"/>
        <v>0</v>
      </c>
      <c r="DJ22" s="4">
        <f t="shared" si="11"/>
        <v>0</v>
      </c>
      <c r="DK22" s="4">
        <f t="shared" si="11"/>
        <v>18370</v>
      </c>
      <c r="DL22" s="4">
        <f t="shared" si="11"/>
        <v>0</v>
      </c>
      <c r="DM22" s="4">
        <f t="shared" si="11"/>
        <v>82.703744999999998</v>
      </c>
      <c r="DN22" s="4">
        <f t="shared" si="11"/>
        <v>0</v>
      </c>
      <c r="DO22" s="4">
        <f t="shared" si="11"/>
        <v>0</v>
      </c>
      <c r="DP22" s="4">
        <f t="shared" si="11"/>
        <v>11394</v>
      </c>
      <c r="DQ22" s="4">
        <f t="shared" si="11"/>
        <v>7466</v>
      </c>
      <c r="DR22" s="4">
        <f t="shared" si="11"/>
        <v>0</v>
      </c>
      <c r="DS22" s="4">
        <f t="shared" si="11"/>
        <v>0</v>
      </c>
      <c r="DT22" s="4">
        <f t="shared" si="11"/>
        <v>539435</v>
      </c>
      <c r="DU22" s="4">
        <f t="shared" si="11"/>
        <v>521065</v>
      </c>
      <c r="DV22" s="4">
        <f t="shared" si="11"/>
        <v>0</v>
      </c>
      <c r="DW22" s="4">
        <f t="shared" si="11"/>
        <v>0</v>
      </c>
      <c r="DX22" s="4">
        <f t="shared" si="11"/>
        <v>18370</v>
      </c>
      <c r="DY22" s="4">
        <f t="shared" si="11"/>
        <v>0</v>
      </c>
      <c r="DZ22" s="4">
        <f t="shared" si="11"/>
        <v>82.703744999999998</v>
      </c>
      <c r="EA22" s="4">
        <f t="shared" si="11"/>
        <v>0</v>
      </c>
      <c r="EB22" s="4">
        <f t="shared" si="11"/>
        <v>0</v>
      </c>
      <c r="EC22" s="4">
        <f t="shared" si="11"/>
        <v>11394</v>
      </c>
      <c r="ED22" s="4">
        <f t="shared" si="11"/>
        <v>7466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558295</v>
      </c>
      <c r="EK22" s="4">
        <f t="shared" si="11"/>
        <v>521065</v>
      </c>
      <c r="EL22" s="4">
        <f t="shared" si="11"/>
        <v>21428</v>
      </c>
      <c r="EM22" s="4">
        <f t="shared" ref="EM22:FR22" si="12">EM53</f>
        <v>15802</v>
      </c>
      <c r="EN22" s="4">
        <f t="shared" si="12"/>
        <v>521065</v>
      </c>
      <c r="EO22" s="4">
        <f t="shared" si="12"/>
        <v>521065</v>
      </c>
      <c r="EP22" s="4">
        <f t="shared" si="12"/>
        <v>0</v>
      </c>
      <c r="EQ22" s="4">
        <f t="shared" si="12"/>
        <v>521065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FS53</f>
        <v>558295</v>
      </c>
      <c r="FT22" s="4">
        <f t="shared" si="13"/>
        <v>521065</v>
      </c>
      <c r="FU22" s="4">
        <f t="shared" si="13"/>
        <v>21428</v>
      </c>
      <c r="FV22" s="4">
        <f t="shared" si="13"/>
        <v>15802</v>
      </c>
      <c r="FW22" s="4">
        <f t="shared" si="13"/>
        <v>521065</v>
      </c>
      <c r="FX22" s="4">
        <f t="shared" si="13"/>
        <v>521065</v>
      </c>
      <c r="FY22" s="4">
        <f t="shared" si="13"/>
        <v>0</v>
      </c>
      <c r="FZ22" s="4">
        <f t="shared" si="13"/>
        <v>521065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ROW(SmtRes!A7)</f>
        <v>7</v>
      </c>
      <c r="D24" s="2">
        <f>ROW(EtalonRes!A3)</f>
        <v>3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17</v>
      </c>
      <c r="J24" s="2">
        <v>0</v>
      </c>
      <c r="K24" s="2"/>
      <c r="L24" s="2"/>
      <c r="M24" s="2"/>
      <c r="N24" s="2"/>
      <c r="O24" s="2">
        <f t="shared" ref="O24:O51" si="14">ROUND(CP24,0)</f>
        <v>118</v>
      </c>
      <c r="P24" s="2">
        <f t="shared" ref="P24:P51" si="15">ROUND(CQ24*I24,0)</f>
        <v>0</v>
      </c>
      <c r="Q24" s="2">
        <f t="shared" ref="Q24:Q51" si="16">ROUND(CR24*I24,0)</f>
        <v>0</v>
      </c>
      <c r="R24" s="2">
        <f t="shared" ref="R24:R51" si="17">ROUND(CS24*I24,0)</f>
        <v>0</v>
      </c>
      <c r="S24" s="2">
        <f t="shared" ref="S24:S51" si="18">ROUND(CT24*I24,0)</f>
        <v>118</v>
      </c>
      <c r="T24" s="2">
        <f t="shared" ref="T24:T51" si="19">ROUND(CU24*I24,0)</f>
        <v>0</v>
      </c>
      <c r="U24" s="2">
        <f t="shared" ref="U24:U51" si="20">CV24*I24</f>
        <v>11.934000000000001</v>
      </c>
      <c r="V24" s="2">
        <f t="shared" ref="V24:V51" si="21">CW24*I24</f>
        <v>0</v>
      </c>
      <c r="W24" s="2">
        <f t="shared" ref="W24:W51" si="22">ROUND(CX24*I24,0)</f>
        <v>0</v>
      </c>
      <c r="X24" s="2">
        <f t="shared" ref="X24:X51" si="23">ROUND(CY24,0)</f>
        <v>94</v>
      </c>
      <c r="Y24" s="2">
        <f t="shared" ref="Y24:Y51" si="24">ROUND(CZ24,0)</f>
        <v>71</v>
      </c>
      <c r="Z24" s="2"/>
      <c r="AA24" s="2">
        <v>34649990</v>
      </c>
      <c r="AB24" s="2">
        <f t="shared" ref="AB24:AB51" si="25">ROUND((AC24+AD24+AF24),2)</f>
        <v>6.97</v>
      </c>
      <c r="AC24" s="2">
        <f>ROUND((ES24+(SUM(SmtRes!BC1:'SmtRes'!BC7)+SUM(EtalonRes!AL1:'EtalonRes'!AL3))),2)</f>
        <v>0</v>
      </c>
      <c r="AD24" s="2">
        <f>ROUND(((((ET24*1.35))-((EU24*1.35)))+AE24),2)</f>
        <v>0</v>
      </c>
      <c r="AE24" s="2">
        <f>ROUND(((EU24*1.35)),2)</f>
        <v>0</v>
      </c>
      <c r="AF24" s="2">
        <f>ROUND(((EV24*1.35)),2)</f>
        <v>6.97</v>
      </c>
      <c r="AG24" s="2">
        <f t="shared" ref="AG24:AG51" si="26">ROUND((AP24),2)</f>
        <v>0</v>
      </c>
      <c r="AH24" s="2">
        <f>((EW24*1.35))</f>
        <v>0.70200000000000007</v>
      </c>
      <c r="AI24" s="2">
        <f>((EX24*1.35))</f>
        <v>0</v>
      </c>
      <c r="AJ24" s="2">
        <f t="shared" ref="AJ24:AJ51" si="27">ROUND((AS24),2)</f>
        <v>0</v>
      </c>
      <c r="AK24" s="2">
        <v>6.25</v>
      </c>
      <c r="AL24" s="2">
        <v>1.0900000000000001</v>
      </c>
      <c r="AM24" s="2">
        <v>0</v>
      </c>
      <c r="AN24" s="2">
        <v>0</v>
      </c>
      <c r="AO24" s="2">
        <v>5.16</v>
      </c>
      <c r="AP24" s="2">
        <v>0</v>
      </c>
      <c r="AQ24" s="2">
        <v>0.52</v>
      </c>
      <c r="AR24" s="2">
        <v>0</v>
      </c>
      <c r="AS24" s="2">
        <v>0</v>
      </c>
      <c r="AT24" s="2">
        <v>80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2</v>
      </c>
      <c r="BJ24" s="2" t="s">
        <v>18</v>
      </c>
      <c r="BK24" s="2"/>
      <c r="BL24" s="2"/>
      <c r="BM24" s="2">
        <v>111001</v>
      </c>
      <c r="BN24" s="2">
        <v>0</v>
      </c>
      <c r="BO24" s="2" t="s">
        <v>6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80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19</v>
      </c>
      <c r="CO24" s="2">
        <v>0</v>
      </c>
      <c r="CP24" s="2">
        <f t="shared" ref="CP24:CP51" si="28">(P24+Q24+S24)</f>
        <v>118</v>
      </c>
      <c r="CQ24" s="2">
        <f t="shared" ref="CQ24:CQ51" si="29">AC24*BC24</f>
        <v>0</v>
      </c>
      <c r="CR24" s="2">
        <f t="shared" ref="CR24:CR51" si="30">AD24*BB24</f>
        <v>0</v>
      </c>
      <c r="CS24" s="2">
        <f t="shared" ref="CS24:CS51" si="31">AE24*BS24</f>
        <v>0</v>
      </c>
      <c r="CT24" s="2">
        <f t="shared" ref="CT24:CT51" si="32">AF24*BA24</f>
        <v>6.97</v>
      </c>
      <c r="CU24" s="2">
        <f t="shared" ref="CU24:CU51" si="33">AG24</f>
        <v>0</v>
      </c>
      <c r="CV24" s="2">
        <f t="shared" ref="CV24:CV51" si="34">AH24</f>
        <v>0.70200000000000007</v>
      </c>
      <c r="CW24" s="2">
        <f t="shared" ref="CW24:CW51" si="35">AI24</f>
        <v>0</v>
      </c>
      <c r="CX24" s="2">
        <f t="shared" ref="CX24:CX51" si="36">AJ24</f>
        <v>0</v>
      </c>
      <c r="CY24" s="2">
        <f t="shared" ref="CY24:CY51" si="37">(((S24+(R24*IF(0,0,1)))*AT24)/100)</f>
        <v>94.4</v>
      </c>
      <c r="CZ24" s="2">
        <f t="shared" ref="CZ24:CZ51" si="38">(((S24+(R24*IF(0,0,1)))*AU24)/100)</f>
        <v>70.8</v>
      </c>
      <c r="DA24" s="2"/>
      <c r="DB24" s="2"/>
      <c r="DC24" s="2" t="s">
        <v>6</v>
      </c>
      <c r="DD24" s="2" t="s">
        <v>6</v>
      </c>
      <c r="DE24" s="2" t="s">
        <v>20</v>
      </c>
      <c r="DF24" s="2" t="s">
        <v>20</v>
      </c>
      <c r="DG24" s="2" t="s">
        <v>20</v>
      </c>
      <c r="DH24" s="2" t="s">
        <v>6</v>
      </c>
      <c r="DI24" s="2" t="s">
        <v>20</v>
      </c>
      <c r="DJ24" s="2" t="s">
        <v>20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32653247</v>
      </c>
      <c r="EF24" s="2">
        <v>2</v>
      </c>
      <c r="EG24" s="2" t="s">
        <v>21</v>
      </c>
      <c r="EH24" s="2">
        <v>0</v>
      </c>
      <c r="EI24" s="2" t="s">
        <v>6</v>
      </c>
      <c r="EJ24" s="2">
        <v>2</v>
      </c>
      <c r="EK24" s="2">
        <v>111001</v>
      </c>
      <c r="EL24" s="2" t="s">
        <v>22</v>
      </c>
      <c r="EM24" s="2" t="s">
        <v>23</v>
      </c>
      <c r="EN24" s="2"/>
      <c r="EO24" s="2" t="s">
        <v>24</v>
      </c>
      <c r="EP24" s="2"/>
      <c r="EQ24" s="2">
        <v>0</v>
      </c>
      <c r="ER24" s="2">
        <v>6.25</v>
      </c>
      <c r="ES24" s="2">
        <v>1.0900000000000001</v>
      </c>
      <c r="ET24" s="2">
        <v>0</v>
      </c>
      <c r="EU24" s="2">
        <v>0</v>
      </c>
      <c r="EV24" s="2">
        <v>5.16</v>
      </c>
      <c r="EW24" s="2">
        <v>0.52</v>
      </c>
      <c r="EX24" s="2">
        <v>0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1" si="39">ROUND(IF(AND(BH24=3,BI24=3),P24,0),0)</f>
        <v>0</v>
      </c>
      <c r="FS24" s="2">
        <v>0</v>
      </c>
      <c r="FT24" s="2"/>
      <c r="FU24" s="2"/>
      <c r="FV24" s="2"/>
      <c r="FW24" s="2"/>
      <c r="FX24" s="2">
        <v>80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1559949470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1" si="40">ROUND(IF(AND(BH24=3,BI24=3,FS24&lt;&gt;0),P24,0),0)</f>
        <v>0</v>
      </c>
      <c r="GM24" s="2">
        <f t="shared" ref="GM24:GM51" si="41">ROUND(O24+X24+Y24+GK24,0)+GX24</f>
        <v>283</v>
      </c>
      <c r="GN24" s="2">
        <f t="shared" ref="GN24:GN51" si="42">IF(OR(BI24=0,BI24=1),ROUND(O24+X24+Y24+GK24,0),0)</f>
        <v>0</v>
      </c>
      <c r="GO24" s="2">
        <f t="shared" ref="GO24:GO51" si="43">IF(BI24=2,ROUND(O24+X24+Y24+GK24,0),0)</f>
        <v>283</v>
      </c>
      <c r="GP24" s="2">
        <f t="shared" ref="GP24:GP51" si="44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1" si="45">ROUND(GT24,2)</f>
        <v>0</v>
      </c>
      <c r="GW24" s="2">
        <v>1</v>
      </c>
      <c r="GX24" s="2">
        <f t="shared" ref="GX24:GX51" si="46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ROW(SmtRes!A14)</f>
        <v>14</v>
      </c>
      <c r="D25">
        <f>ROW(EtalonRes!A6)</f>
        <v>6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17</v>
      </c>
      <c r="J25">
        <v>0</v>
      </c>
      <c r="O25">
        <f t="shared" si="14"/>
        <v>2168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2168</v>
      </c>
      <c r="T25">
        <f t="shared" si="19"/>
        <v>0</v>
      </c>
      <c r="U25">
        <f t="shared" si="20"/>
        <v>11.934000000000001</v>
      </c>
      <c r="V25">
        <f t="shared" si="21"/>
        <v>0</v>
      </c>
      <c r="W25">
        <f t="shared" si="22"/>
        <v>0</v>
      </c>
      <c r="X25">
        <f t="shared" si="23"/>
        <v>1474</v>
      </c>
      <c r="Y25">
        <f t="shared" si="24"/>
        <v>1041</v>
      </c>
      <c r="AA25">
        <v>34649991</v>
      </c>
      <c r="AB25">
        <f t="shared" si="25"/>
        <v>6.97</v>
      </c>
      <c r="AC25">
        <f>ROUND((ES25+(SUM(SmtRes!BC8:'SmtRes'!BC14)+SUM(EtalonRes!AL4:'EtalonRes'!AL6))),2)</f>
        <v>0</v>
      </c>
      <c r="AD25">
        <f>ROUND(((((ET25*1.35))-((EU25*1.35)))+AE25),2)</f>
        <v>0</v>
      </c>
      <c r="AE25">
        <f>ROUND(((EU25*1.35)),2)</f>
        <v>0</v>
      </c>
      <c r="AF25">
        <f>ROUND(((EV25*1.35)),2)</f>
        <v>6.97</v>
      </c>
      <c r="AG25">
        <f t="shared" si="26"/>
        <v>0</v>
      </c>
      <c r="AH25">
        <f>((EW25*1.35))</f>
        <v>0.70200000000000007</v>
      </c>
      <c r="AI25">
        <f>((EX25*1.35))</f>
        <v>0</v>
      </c>
      <c r="AJ25">
        <f t="shared" si="27"/>
        <v>0</v>
      </c>
      <c r="AK25">
        <f>AL25+AM25+AO25</f>
        <v>6.25</v>
      </c>
      <c r="AL25">
        <v>1.0900000000000001</v>
      </c>
      <c r="AM25">
        <v>0</v>
      </c>
      <c r="AN25">
        <v>0</v>
      </c>
      <c r="AO25" s="55">
        <f>'1.Смета.или.Акт'!F47</f>
        <v>5.16</v>
      </c>
      <c r="AP25">
        <v>0</v>
      </c>
      <c r="AQ25">
        <f>'1.Смета.или.Акт'!E50</f>
        <v>0.52</v>
      </c>
      <c r="AR25">
        <v>0</v>
      </c>
      <c r="AS25">
        <v>0</v>
      </c>
      <c r="AT25">
        <v>68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2</v>
      </c>
      <c r="BJ25" t="s">
        <v>18</v>
      </c>
      <c r="BM25">
        <v>111001</v>
      </c>
      <c r="BN25">
        <v>0</v>
      </c>
      <c r="BO25" t="s">
        <v>6</v>
      </c>
      <c r="BP25">
        <v>0</v>
      </c>
      <c r="BQ25">
        <v>2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80</v>
      </c>
      <c r="CA25">
        <v>60</v>
      </c>
      <c r="CF25">
        <v>0</v>
      </c>
      <c r="CG25">
        <v>0</v>
      </c>
      <c r="CM25">
        <v>0</v>
      </c>
      <c r="CN25" t="s">
        <v>19</v>
      </c>
      <c r="CO25">
        <v>0</v>
      </c>
      <c r="CP25">
        <f t="shared" si="28"/>
        <v>2168</v>
      </c>
      <c r="CQ25">
        <f t="shared" si="29"/>
        <v>0</v>
      </c>
      <c r="CR25">
        <f t="shared" si="30"/>
        <v>0</v>
      </c>
      <c r="CS25">
        <f t="shared" si="31"/>
        <v>0</v>
      </c>
      <c r="CT25">
        <f t="shared" si="32"/>
        <v>127.551</v>
      </c>
      <c r="CU25">
        <f t="shared" si="33"/>
        <v>0</v>
      </c>
      <c r="CV25">
        <f t="shared" si="34"/>
        <v>0.70200000000000007</v>
      </c>
      <c r="CW25">
        <f t="shared" si="35"/>
        <v>0</v>
      </c>
      <c r="CX25">
        <f t="shared" si="36"/>
        <v>0</v>
      </c>
      <c r="CY25">
        <f t="shared" si="37"/>
        <v>1474.24</v>
      </c>
      <c r="CZ25">
        <f t="shared" si="38"/>
        <v>1040.6400000000001</v>
      </c>
      <c r="DC25" t="s">
        <v>6</v>
      </c>
      <c r="DD25" t="s">
        <v>6</v>
      </c>
      <c r="DE25" t="s">
        <v>20</v>
      </c>
      <c r="DF25" t="s">
        <v>20</v>
      </c>
      <c r="DG25" t="s">
        <v>20</v>
      </c>
      <c r="DH25" t="s">
        <v>6</v>
      </c>
      <c r="DI25" t="s">
        <v>20</v>
      </c>
      <c r="DJ25" t="s">
        <v>20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32653247</v>
      </c>
      <c r="EF25">
        <v>2</v>
      </c>
      <c r="EG25" t="s">
        <v>21</v>
      </c>
      <c r="EH25">
        <v>0</v>
      </c>
      <c r="EI25" t="s">
        <v>6</v>
      </c>
      <c r="EJ25">
        <v>2</v>
      </c>
      <c r="EK25">
        <v>111001</v>
      </c>
      <c r="EL25" t="s">
        <v>22</v>
      </c>
      <c r="EM25" t="s">
        <v>23</v>
      </c>
      <c r="EO25" t="s">
        <v>24</v>
      </c>
      <c r="EQ25">
        <v>0</v>
      </c>
      <c r="ER25">
        <f>ES25+ET25+EV25</f>
        <v>6.25</v>
      </c>
      <c r="ES25">
        <v>1.0900000000000001</v>
      </c>
      <c r="ET25">
        <v>0</v>
      </c>
      <c r="EU25">
        <v>0</v>
      </c>
      <c r="EV25" s="55">
        <f>'1.Смета.или.Акт'!F47</f>
        <v>5.16</v>
      </c>
      <c r="EW25">
        <f>'1.Смета.или.Акт'!E50</f>
        <v>0.52</v>
      </c>
      <c r="EX25">
        <v>0</v>
      </c>
      <c r="EY25">
        <v>1</v>
      </c>
      <c r="FQ25">
        <v>0</v>
      </c>
      <c r="FR25">
        <f t="shared" si="39"/>
        <v>0</v>
      </c>
      <c r="FS25">
        <v>0</v>
      </c>
      <c r="FV25" t="s">
        <v>25</v>
      </c>
      <c r="FW25" t="s">
        <v>26</v>
      </c>
      <c r="FX25">
        <v>80</v>
      </c>
      <c r="FY25">
        <v>60</v>
      </c>
      <c r="GA25" t="s">
        <v>6</v>
      </c>
      <c r="GD25">
        <v>0</v>
      </c>
      <c r="GF25">
        <v>1559949470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0"/>
        <v>0</v>
      </c>
      <c r="GM25">
        <f t="shared" si="41"/>
        <v>4683</v>
      </c>
      <c r="GN25">
        <f t="shared" si="42"/>
        <v>0</v>
      </c>
      <c r="GO25">
        <f t="shared" si="43"/>
        <v>4683</v>
      </c>
      <c r="GP25">
        <f t="shared" si="44"/>
        <v>0</v>
      </c>
      <c r="GR25">
        <v>0</v>
      </c>
      <c r="GS25">
        <v>3</v>
      </c>
      <c r="GT25">
        <v>0</v>
      </c>
      <c r="GU25" t="s">
        <v>6</v>
      </c>
      <c r="GV25">
        <f t="shared" si="45"/>
        <v>0</v>
      </c>
      <c r="GW25">
        <v>18.3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18</v>
      </c>
      <c r="B26" s="2">
        <v>1</v>
      </c>
      <c r="C26" s="2">
        <v>7</v>
      </c>
      <c r="D26" s="2"/>
      <c r="E26" s="2" t="s">
        <v>27</v>
      </c>
      <c r="F26" s="2" t="s">
        <v>28</v>
      </c>
      <c r="G26" s="2" t="s">
        <v>29</v>
      </c>
      <c r="H26" s="2" t="s">
        <v>30</v>
      </c>
      <c r="I26" s="2">
        <f>I24*J26</f>
        <v>2</v>
      </c>
      <c r="J26" s="2">
        <v>0.11764705882352941</v>
      </c>
      <c r="K26" s="2"/>
      <c r="L26" s="2"/>
      <c r="M26" s="2"/>
      <c r="N26" s="2"/>
      <c r="O26" s="2">
        <f t="shared" si="14"/>
        <v>13235</v>
      </c>
      <c r="P26" s="2">
        <f t="shared" si="15"/>
        <v>13235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34649990</v>
      </c>
      <c r="AB26" s="2">
        <f t="shared" si="25"/>
        <v>6617.73</v>
      </c>
      <c r="AC26" s="2">
        <f t="shared" ref="AC26:AC37" si="47">ROUND((ES26),2)</f>
        <v>6617.73</v>
      </c>
      <c r="AD26" s="2">
        <f t="shared" ref="AD26:AD37" si="48">ROUND((((ET26)-(EU26))+AE26),2)</f>
        <v>0</v>
      </c>
      <c r="AE26" s="2">
        <f t="shared" ref="AE26:AE37" si="49">ROUND((EU26),2)</f>
        <v>0</v>
      </c>
      <c r="AF26" s="2">
        <f t="shared" ref="AF26:AF37" si="50">ROUND((EV26),2)</f>
        <v>0</v>
      </c>
      <c r="AG26" s="2">
        <f t="shared" si="26"/>
        <v>0</v>
      </c>
      <c r="AH26" s="2">
        <f t="shared" ref="AH26:AH37" si="51">(EW26)</f>
        <v>0</v>
      </c>
      <c r="AI26" s="2">
        <f t="shared" ref="AI26:AI37" si="52">(EX26)</f>
        <v>0</v>
      </c>
      <c r="AJ26" s="2">
        <f t="shared" si="27"/>
        <v>0</v>
      </c>
      <c r="AK26" s="2">
        <v>6617.73</v>
      </c>
      <c r="AL26" s="2">
        <v>6617.73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106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6</v>
      </c>
      <c r="BK26" s="2"/>
      <c r="BL26" s="2"/>
      <c r="BM26" s="2">
        <v>0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106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28"/>
        <v>13235</v>
      </c>
      <c r="CQ26" s="2">
        <f t="shared" si="29"/>
        <v>6617.73</v>
      </c>
      <c r="CR26" s="2">
        <f t="shared" si="30"/>
        <v>0</v>
      </c>
      <c r="CS26" s="2">
        <f t="shared" si="31"/>
        <v>0</v>
      </c>
      <c r="CT26" s="2">
        <f t="shared" si="32"/>
        <v>0</v>
      </c>
      <c r="CU26" s="2">
        <f t="shared" si="33"/>
        <v>0</v>
      </c>
      <c r="CV26" s="2">
        <f t="shared" si="34"/>
        <v>0</v>
      </c>
      <c r="CW26" s="2">
        <f t="shared" si="35"/>
        <v>0</v>
      </c>
      <c r="CX26" s="2">
        <f t="shared" si="36"/>
        <v>0</v>
      </c>
      <c r="CY26" s="2">
        <f t="shared" si="37"/>
        <v>0</v>
      </c>
      <c r="CZ26" s="2">
        <f t="shared" si="38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1010</v>
      </c>
      <c r="DV26" s="2" t="s">
        <v>30</v>
      </c>
      <c r="DW26" s="2" t="s">
        <v>30</v>
      </c>
      <c r="DX26" s="2">
        <v>1</v>
      </c>
      <c r="DY26" s="2"/>
      <c r="DZ26" s="2"/>
      <c r="EA26" s="2"/>
      <c r="EB26" s="2"/>
      <c r="EC26" s="2"/>
      <c r="ED26" s="2"/>
      <c r="EE26" s="2">
        <v>32653299</v>
      </c>
      <c r="EF26" s="2">
        <v>20</v>
      </c>
      <c r="EG26" s="2" t="s">
        <v>31</v>
      </c>
      <c r="EH26" s="2">
        <v>0</v>
      </c>
      <c r="EI26" s="2" t="s">
        <v>6</v>
      </c>
      <c r="EJ26" s="2">
        <v>1</v>
      </c>
      <c r="EK26" s="2">
        <v>0</v>
      </c>
      <c r="EL26" s="2" t="s">
        <v>32</v>
      </c>
      <c r="EM26" s="2" t="s">
        <v>33</v>
      </c>
      <c r="EN26" s="2"/>
      <c r="EO26" s="2" t="s">
        <v>6</v>
      </c>
      <c r="EP26" s="2"/>
      <c r="EQ26" s="2">
        <v>0</v>
      </c>
      <c r="ER26" s="2">
        <v>0</v>
      </c>
      <c r="ES26" s="2">
        <v>6617.73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106</v>
      </c>
      <c r="FY26" s="2">
        <v>65</v>
      </c>
      <c r="FZ26" s="2"/>
      <c r="GA26" s="2" t="s">
        <v>34</v>
      </c>
      <c r="GB26" s="2"/>
      <c r="GC26" s="2"/>
      <c r="GD26" s="2">
        <v>0</v>
      </c>
      <c r="GE26" s="2"/>
      <c r="GF26" s="2">
        <v>1989984190</v>
      </c>
      <c r="GG26" s="2">
        <v>2</v>
      </c>
      <c r="GH26" s="2">
        <v>4</v>
      </c>
      <c r="GI26" s="2">
        <v>-2</v>
      </c>
      <c r="GJ26" s="2">
        <v>0</v>
      </c>
      <c r="GK26" s="2">
        <f>ROUND(R26*(R12)/100,0)</f>
        <v>0</v>
      </c>
      <c r="GL26" s="2">
        <f t="shared" si="40"/>
        <v>0</v>
      </c>
      <c r="GM26" s="2">
        <f t="shared" si="41"/>
        <v>13235</v>
      </c>
      <c r="GN26" s="2">
        <f t="shared" si="42"/>
        <v>13235</v>
      </c>
      <c r="GO26" s="2">
        <f t="shared" si="43"/>
        <v>0</v>
      </c>
      <c r="GP26" s="2">
        <f t="shared" si="44"/>
        <v>0</v>
      </c>
      <c r="GQ26" s="2"/>
      <c r="GR26" s="2">
        <v>0</v>
      </c>
      <c r="GS26" s="2">
        <v>2</v>
      </c>
      <c r="GT26" s="2">
        <v>0</v>
      </c>
      <c r="GU26" s="2" t="s">
        <v>6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14</v>
      </c>
      <c r="E27" t="s">
        <v>27</v>
      </c>
      <c r="F27" t="str">
        <f>'1.Смета.или.Акт'!B51</f>
        <v>Накладная</v>
      </c>
      <c r="G27" t="str">
        <f>'1.Смета.или.Акт'!C51</f>
        <v>Коммутатор управляемый hp/3com 48 портов</v>
      </c>
      <c r="H27" t="s">
        <v>30</v>
      </c>
      <c r="I27">
        <f>I25*J27</f>
        <v>2</v>
      </c>
      <c r="J27">
        <v>0.11764705882352941</v>
      </c>
      <c r="O27">
        <f t="shared" si="14"/>
        <v>99266</v>
      </c>
      <c r="P27">
        <f t="shared" si="15"/>
        <v>99266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34649991</v>
      </c>
      <c r="AB27">
        <f t="shared" si="25"/>
        <v>6617.73</v>
      </c>
      <c r="AC27">
        <f t="shared" si="47"/>
        <v>6617.73</v>
      </c>
      <c r="AD27">
        <f t="shared" si="48"/>
        <v>0</v>
      </c>
      <c r="AE27">
        <f t="shared" si="49"/>
        <v>0</v>
      </c>
      <c r="AF27">
        <f t="shared" si="50"/>
        <v>0</v>
      </c>
      <c r="AG27">
        <f t="shared" si="26"/>
        <v>0</v>
      </c>
      <c r="AH27">
        <f t="shared" si="51"/>
        <v>0</v>
      </c>
      <c r="AI27">
        <f t="shared" si="52"/>
        <v>0</v>
      </c>
      <c r="AJ27">
        <f t="shared" si="27"/>
        <v>0</v>
      </c>
      <c r="AK27">
        <v>6617.73</v>
      </c>
      <c r="AL27" s="55">
        <f>'1.Смета.или.Акт'!F51</f>
        <v>6617.73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90</v>
      </c>
      <c r="AU27">
        <v>52</v>
      </c>
      <c r="AV27">
        <v>1</v>
      </c>
      <c r="AW27">
        <v>1</v>
      </c>
      <c r="AZ27">
        <v>1</v>
      </c>
      <c r="BA27">
        <v>1</v>
      </c>
      <c r="BB27">
        <v>1</v>
      </c>
      <c r="BC27">
        <f>'1.Смета.или.Акт'!J51</f>
        <v>7.5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6</v>
      </c>
      <c r="BM27">
        <v>0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106</v>
      </c>
      <c r="CA27">
        <v>65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28"/>
        <v>99266</v>
      </c>
      <c r="CQ27">
        <f t="shared" si="29"/>
        <v>49632.974999999999</v>
      </c>
      <c r="CR27">
        <f t="shared" si="30"/>
        <v>0</v>
      </c>
      <c r="CS27">
        <f t="shared" si="31"/>
        <v>0</v>
      </c>
      <c r="CT27">
        <f t="shared" si="32"/>
        <v>0</v>
      </c>
      <c r="CU27">
        <f t="shared" si="33"/>
        <v>0</v>
      </c>
      <c r="CV27">
        <f t="shared" si="34"/>
        <v>0</v>
      </c>
      <c r="CW27">
        <f t="shared" si="35"/>
        <v>0</v>
      </c>
      <c r="CX27">
        <f t="shared" si="36"/>
        <v>0</v>
      </c>
      <c r="CY27">
        <f t="shared" si="37"/>
        <v>0</v>
      </c>
      <c r="CZ27">
        <f t="shared" si="38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1010</v>
      </c>
      <c r="DV27" t="s">
        <v>30</v>
      </c>
      <c r="DW27" t="str">
        <f>'1.Смета.или.Акт'!D51</f>
        <v>шт.</v>
      </c>
      <c r="DX27">
        <v>1</v>
      </c>
      <c r="EE27">
        <v>32653299</v>
      </c>
      <c r="EF27">
        <v>20</v>
      </c>
      <c r="EG27" t="s">
        <v>31</v>
      </c>
      <c r="EH27">
        <v>0</v>
      </c>
      <c r="EI27" t="s">
        <v>6</v>
      </c>
      <c r="EJ27">
        <v>1</v>
      </c>
      <c r="EK27">
        <v>0</v>
      </c>
      <c r="EL27" t="s">
        <v>32</v>
      </c>
      <c r="EM27" t="s">
        <v>33</v>
      </c>
      <c r="EO27" t="s">
        <v>6</v>
      </c>
      <c r="EQ27">
        <v>0</v>
      </c>
      <c r="ER27">
        <v>6617.73</v>
      </c>
      <c r="ES27" s="55">
        <f>'1.Смета.или.Акт'!F51</f>
        <v>6617.73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5</v>
      </c>
      <c r="FC27">
        <v>0</v>
      </c>
      <c r="FD27">
        <v>18</v>
      </c>
      <c r="FF27">
        <v>49633</v>
      </c>
      <c r="FQ27">
        <v>0</v>
      </c>
      <c r="FR27">
        <f t="shared" si="39"/>
        <v>0</v>
      </c>
      <c r="FS27">
        <v>0</v>
      </c>
      <c r="FV27" t="s">
        <v>25</v>
      </c>
      <c r="FW27" t="s">
        <v>26</v>
      </c>
      <c r="FX27">
        <v>106</v>
      </c>
      <c r="FY27">
        <v>65</v>
      </c>
      <c r="GA27" t="s">
        <v>34</v>
      </c>
      <c r="GD27">
        <v>0</v>
      </c>
      <c r="GF27">
        <v>1989984190</v>
      </c>
      <c r="GG27">
        <v>2</v>
      </c>
      <c r="GH27">
        <v>3</v>
      </c>
      <c r="GI27">
        <v>4</v>
      </c>
      <c r="GJ27">
        <v>0</v>
      </c>
      <c r="GK27">
        <f>ROUND(R27*(S12)/100,0)</f>
        <v>0</v>
      </c>
      <c r="GL27">
        <f t="shared" si="40"/>
        <v>0</v>
      </c>
      <c r="GM27">
        <f t="shared" si="41"/>
        <v>99266</v>
      </c>
      <c r="GN27">
        <f t="shared" si="42"/>
        <v>99266</v>
      </c>
      <c r="GO27">
        <f t="shared" si="43"/>
        <v>0</v>
      </c>
      <c r="GP27">
        <f t="shared" si="44"/>
        <v>0</v>
      </c>
      <c r="GR27">
        <v>1</v>
      </c>
      <c r="GS27">
        <v>1</v>
      </c>
      <c r="GT27">
        <v>0</v>
      </c>
      <c r="GU27" t="s">
        <v>6</v>
      </c>
      <c r="GV27">
        <f t="shared" si="45"/>
        <v>0</v>
      </c>
      <c r="GW27">
        <v>1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6</v>
      </c>
      <c r="D28" s="2"/>
      <c r="E28" s="2" t="s">
        <v>35</v>
      </c>
      <c r="F28" s="2" t="s">
        <v>28</v>
      </c>
      <c r="G28" s="2" t="s">
        <v>36</v>
      </c>
      <c r="H28" s="2" t="s">
        <v>30</v>
      </c>
      <c r="I28" s="2">
        <f>I24*J28</f>
        <v>1</v>
      </c>
      <c r="J28" s="2">
        <v>5.8823529411764705E-2</v>
      </c>
      <c r="K28" s="2"/>
      <c r="L28" s="2"/>
      <c r="M28" s="2"/>
      <c r="N28" s="2"/>
      <c r="O28" s="2">
        <f t="shared" si="14"/>
        <v>25576</v>
      </c>
      <c r="P28" s="2">
        <f t="shared" si="15"/>
        <v>25576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34649990</v>
      </c>
      <c r="AB28" s="2">
        <f t="shared" si="25"/>
        <v>25576.27</v>
      </c>
      <c r="AC28" s="2">
        <f t="shared" si="47"/>
        <v>25576.27</v>
      </c>
      <c r="AD28" s="2">
        <f t="shared" si="48"/>
        <v>0</v>
      </c>
      <c r="AE28" s="2">
        <f t="shared" si="49"/>
        <v>0</v>
      </c>
      <c r="AF28" s="2">
        <f t="shared" si="50"/>
        <v>0</v>
      </c>
      <c r="AG28" s="2">
        <f t="shared" si="26"/>
        <v>0</v>
      </c>
      <c r="AH28" s="2">
        <f t="shared" si="51"/>
        <v>0</v>
      </c>
      <c r="AI28" s="2">
        <f t="shared" si="52"/>
        <v>0</v>
      </c>
      <c r="AJ28" s="2">
        <f t="shared" si="27"/>
        <v>0</v>
      </c>
      <c r="AK28" s="2">
        <v>25576.27</v>
      </c>
      <c r="AL28" s="2">
        <v>25576.27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106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6</v>
      </c>
      <c r="BK28" s="2"/>
      <c r="BL28" s="2"/>
      <c r="BM28" s="2">
        <v>0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106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28"/>
        <v>25576</v>
      </c>
      <c r="CQ28" s="2">
        <f t="shared" si="29"/>
        <v>25576.27</v>
      </c>
      <c r="CR28" s="2">
        <f t="shared" si="30"/>
        <v>0</v>
      </c>
      <c r="CS28" s="2">
        <f t="shared" si="31"/>
        <v>0</v>
      </c>
      <c r="CT28" s="2">
        <f t="shared" si="32"/>
        <v>0</v>
      </c>
      <c r="CU28" s="2">
        <f t="shared" si="33"/>
        <v>0</v>
      </c>
      <c r="CV28" s="2">
        <f t="shared" si="34"/>
        <v>0</v>
      </c>
      <c r="CW28" s="2">
        <f t="shared" si="35"/>
        <v>0</v>
      </c>
      <c r="CX28" s="2">
        <f t="shared" si="36"/>
        <v>0</v>
      </c>
      <c r="CY28" s="2">
        <f t="shared" si="37"/>
        <v>0</v>
      </c>
      <c r="CZ28" s="2">
        <f t="shared" si="38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1010</v>
      </c>
      <c r="DV28" s="2" t="s">
        <v>30</v>
      </c>
      <c r="DW28" s="2" t="s">
        <v>30</v>
      </c>
      <c r="DX28" s="2">
        <v>1</v>
      </c>
      <c r="DY28" s="2"/>
      <c r="DZ28" s="2"/>
      <c r="EA28" s="2"/>
      <c r="EB28" s="2"/>
      <c r="EC28" s="2"/>
      <c r="ED28" s="2"/>
      <c r="EE28" s="2">
        <v>32653299</v>
      </c>
      <c r="EF28" s="2">
        <v>20</v>
      </c>
      <c r="EG28" s="2" t="s">
        <v>31</v>
      </c>
      <c r="EH28" s="2">
        <v>0</v>
      </c>
      <c r="EI28" s="2" t="s">
        <v>6</v>
      </c>
      <c r="EJ28" s="2">
        <v>1</v>
      </c>
      <c r="EK28" s="2">
        <v>0</v>
      </c>
      <c r="EL28" s="2" t="s">
        <v>32</v>
      </c>
      <c r="EM28" s="2" t="s">
        <v>33</v>
      </c>
      <c r="EN28" s="2"/>
      <c r="EO28" s="2" t="s">
        <v>6</v>
      </c>
      <c r="EP28" s="2"/>
      <c r="EQ28" s="2">
        <v>0</v>
      </c>
      <c r="ER28" s="2">
        <v>0</v>
      </c>
      <c r="ES28" s="2">
        <v>25576.27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106</v>
      </c>
      <c r="FY28" s="2">
        <v>65</v>
      </c>
      <c r="FZ28" s="2"/>
      <c r="GA28" s="2" t="s">
        <v>37</v>
      </c>
      <c r="GB28" s="2"/>
      <c r="GC28" s="2"/>
      <c r="GD28" s="2">
        <v>0</v>
      </c>
      <c r="GE28" s="2"/>
      <c r="GF28" s="2">
        <v>1455030152</v>
      </c>
      <c r="GG28" s="2">
        <v>2</v>
      </c>
      <c r="GH28" s="2">
        <v>4</v>
      </c>
      <c r="GI28" s="2">
        <v>-2</v>
      </c>
      <c r="GJ28" s="2">
        <v>0</v>
      </c>
      <c r="GK28" s="2">
        <f>ROUND(R28*(R12)/100,0)</f>
        <v>0</v>
      </c>
      <c r="GL28" s="2">
        <f t="shared" si="40"/>
        <v>0</v>
      </c>
      <c r="GM28" s="2">
        <f t="shared" si="41"/>
        <v>25576</v>
      </c>
      <c r="GN28" s="2">
        <f t="shared" si="42"/>
        <v>25576</v>
      </c>
      <c r="GO28" s="2">
        <f t="shared" si="43"/>
        <v>0</v>
      </c>
      <c r="GP28" s="2">
        <f t="shared" si="44"/>
        <v>0</v>
      </c>
      <c r="GQ28" s="2"/>
      <c r="GR28" s="2">
        <v>0</v>
      </c>
      <c r="GS28" s="2">
        <v>2</v>
      </c>
      <c r="GT28" s="2">
        <v>0</v>
      </c>
      <c r="GU28" s="2" t="s">
        <v>6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13</v>
      </c>
      <c r="E29" t="s">
        <v>35</v>
      </c>
      <c r="F29" t="str">
        <f>'1.Смета.или.Акт'!B53</f>
        <v>Накладная</v>
      </c>
      <c r="G29" t="str">
        <f>'1.Смета.или.Акт'!C53</f>
        <v>Сетевое хранилище QNAP TS-853 BU-RP-8G</v>
      </c>
      <c r="H29" t="s">
        <v>30</v>
      </c>
      <c r="I29">
        <f>I25*J29</f>
        <v>1</v>
      </c>
      <c r="J29">
        <v>5.8823529411764705E-2</v>
      </c>
      <c r="O29">
        <f t="shared" si="14"/>
        <v>191822</v>
      </c>
      <c r="P29">
        <f t="shared" si="15"/>
        <v>191822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34649991</v>
      </c>
      <c r="AB29">
        <f t="shared" si="25"/>
        <v>25576.27</v>
      </c>
      <c r="AC29">
        <f t="shared" si="47"/>
        <v>25576.27</v>
      </c>
      <c r="AD29">
        <f t="shared" si="48"/>
        <v>0</v>
      </c>
      <c r="AE29">
        <f t="shared" si="49"/>
        <v>0</v>
      </c>
      <c r="AF29">
        <f t="shared" si="50"/>
        <v>0</v>
      </c>
      <c r="AG29">
        <f t="shared" si="26"/>
        <v>0</v>
      </c>
      <c r="AH29">
        <f t="shared" si="51"/>
        <v>0</v>
      </c>
      <c r="AI29">
        <f t="shared" si="52"/>
        <v>0</v>
      </c>
      <c r="AJ29">
        <f t="shared" si="27"/>
        <v>0</v>
      </c>
      <c r="AK29">
        <v>25576.27</v>
      </c>
      <c r="AL29" s="55">
        <f>'1.Смета.или.Акт'!F53</f>
        <v>25576.27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90</v>
      </c>
      <c r="AU29">
        <v>52</v>
      </c>
      <c r="AV29">
        <v>1</v>
      </c>
      <c r="AW29">
        <v>1</v>
      </c>
      <c r="AZ29">
        <v>1</v>
      </c>
      <c r="BA29">
        <v>1</v>
      </c>
      <c r="BB29">
        <v>1</v>
      </c>
      <c r="BC29">
        <f>'1.Смета.или.Акт'!J53</f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6</v>
      </c>
      <c r="BM29">
        <v>0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106</v>
      </c>
      <c r="CA29">
        <v>65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28"/>
        <v>191822</v>
      </c>
      <c r="CQ29">
        <f t="shared" si="29"/>
        <v>191822.02499999999</v>
      </c>
      <c r="CR29">
        <f t="shared" si="30"/>
        <v>0</v>
      </c>
      <c r="CS29">
        <f t="shared" si="31"/>
        <v>0</v>
      </c>
      <c r="CT29">
        <f t="shared" si="32"/>
        <v>0</v>
      </c>
      <c r="CU29">
        <f t="shared" si="33"/>
        <v>0</v>
      </c>
      <c r="CV29">
        <f t="shared" si="34"/>
        <v>0</v>
      </c>
      <c r="CW29">
        <f t="shared" si="35"/>
        <v>0</v>
      </c>
      <c r="CX29">
        <f t="shared" si="36"/>
        <v>0</v>
      </c>
      <c r="CY29">
        <f t="shared" si="37"/>
        <v>0</v>
      </c>
      <c r="CZ29">
        <f t="shared" si="38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30</v>
      </c>
      <c r="DW29" t="str">
        <f>'1.Смета.или.Акт'!D53</f>
        <v>шт.</v>
      </c>
      <c r="DX29">
        <v>1</v>
      </c>
      <c r="EE29">
        <v>32653299</v>
      </c>
      <c r="EF29">
        <v>20</v>
      </c>
      <c r="EG29" t="s">
        <v>31</v>
      </c>
      <c r="EH29">
        <v>0</v>
      </c>
      <c r="EI29" t="s">
        <v>6</v>
      </c>
      <c r="EJ29">
        <v>1</v>
      </c>
      <c r="EK29">
        <v>0</v>
      </c>
      <c r="EL29" t="s">
        <v>32</v>
      </c>
      <c r="EM29" t="s">
        <v>33</v>
      </c>
      <c r="EO29" t="s">
        <v>6</v>
      </c>
      <c r="EQ29">
        <v>0</v>
      </c>
      <c r="ER29">
        <v>25576.27</v>
      </c>
      <c r="ES29" s="55">
        <f>'1.Смета.или.Акт'!F53</f>
        <v>25576.27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0</v>
      </c>
      <c r="FD29">
        <v>18</v>
      </c>
      <c r="FF29">
        <v>191822.03</v>
      </c>
      <c r="FQ29">
        <v>0</v>
      </c>
      <c r="FR29">
        <f t="shared" si="39"/>
        <v>0</v>
      </c>
      <c r="FS29">
        <v>0</v>
      </c>
      <c r="FV29" t="s">
        <v>25</v>
      </c>
      <c r="FW29" t="s">
        <v>26</v>
      </c>
      <c r="FX29">
        <v>106</v>
      </c>
      <c r="FY29">
        <v>65</v>
      </c>
      <c r="GA29" t="s">
        <v>37</v>
      </c>
      <c r="GD29">
        <v>0</v>
      </c>
      <c r="GF29">
        <v>1455030152</v>
      </c>
      <c r="GG29">
        <v>2</v>
      </c>
      <c r="GH29">
        <v>3</v>
      </c>
      <c r="GI29">
        <v>4</v>
      </c>
      <c r="GJ29">
        <v>0</v>
      </c>
      <c r="GK29">
        <f>ROUND(R29*(S12)/100,0)</f>
        <v>0</v>
      </c>
      <c r="GL29">
        <f t="shared" si="40"/>
        <v>0</v>
      </c>
      <c r="GM29">
        <f t="shared" si="41"/>
        <v>191822</v>
      </c>
      <c r="GN29">
        <f t="shared" si="42"/>
        <v>191822</v>
      </c>
      <c r="GO29">
        <f t="shared" si="43"/>
        <v>0</v>
      </c>
      <c r="GP29">
        <f t="shared" si="44"/>
        <v>0</v>
      </c>
      <c r="GR29">
        <v>1</v>
      </c>
      <c r="GS29">
        <v>1</v>
      </c>
      <c r="GT29">
        <v>0</v>
      </c>
      <c r="GU29" t="s">
        <v>6</v>
      </c>
      <c r="GV29">
        <f t="shared" si="45"/>
        <v>0</v>
      </c>
      <c r="GW29">
        <v>1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5</v>
      </c>
      <c r="D30" s="2"/>
      <c r="E30" s="2" t="s">
        <v>38</v>
      </c>
      <c r="F30" s="2" t="s">
        <v>28</v>
      </c>
      <c r="G30" s="2" t="s">
        <v>39</v>
      </c>
      <c r="H30" s="2" t="s">
        <v>30</v>
      </c>
      <c r="I30" s="2">
        <f>I24*J30</f>
        <v>2</v>
      </c>
      <c r="J30" s="2">
        <v>0.11764705882352941</v>
      </c>
      <c r="K30" s="2"/>
      <c r="L30" s="2"/>
      <c r="M30" s="2"/>
      <c r="N30" s="2"/>
      <c r="O30" s="2">
        <f t="shared" si="14"/>
        <v>2467</v>
      </c>
      <c r="P30" s="2">
        <f t="shared" si="15"/>
        <v>2467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34649990</v>
      </c>
      <c r="AB30" s="2">
        <f t="shared" si="25"/>
        <v>1233.33</v>
      </c>
      <c r="AC30" s="2">
        <f t="shared" si="47"/>
        <v>1233.33</v>
      </c>
      <c r="AD30" s="2">
        <f t="shared" si="48"/>
        <v>0</v>
      </c>
      <c r="AE30" s="2">
        <f t="shared" si="49"/>
        <v>0</v>
      </c>
      <c r="AF30" s="2">
        <f t="shared" si="50"/>
        <v>0</v>
      </c>
      <c r="AG30" s="2">
        <f t="shared" si="26"/>
        <v>0</v>
      </c>
      <c r="AH30" s="2">
        <f t="shared" si="51"/>
        <v>0</v>
      </c>
      <c r="AI30" s="2">
        <f t="shared" si="52"/>
        <v>0</v>
      </c>
      <c r="AJ30" s="2">
        <f t="shared" si="27"/>
        <v>0</v>
      </c>
      <c r="AK30" s="2">
        <v>1233.33</v>
      </c>
      <c r="AL30" s="2">
        <v>1233.33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106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6</v>
      </c>
      <c r="BK30" s="2"/>
      <c r="BL30" s="2"/>
      <c r="BM30" s="2">
        <v>0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106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28"/>
        <v>2467</v>
      </c>
      <c r="CQ30" s="2">
        <f t="shared" si="29"/>
        <v>1233.33</v>
      </c>
      <c r="CR30" s="2">
        <f t="shared" si="30"/>
        <v>0</v>
      </c>
      <c r="CS30" s="2">
        <f t="shared" si="31"/>
        <v>0</v>
      </c>
      <c r="CT30" s="2">
        <f t="shared" si="32"/>
        <v>0</v>
      </c>
      <c r="CU30" s="2">
        <f t="shared" si="33"/>
        <v>0</v>
      </c>
      <c r="CV30" s="2">
        <f t="shared" si="34"/>
        <v>0</v>
      </c>
      <c r="CW30" s="2">
        <f t="shared" si="35"/>
        <v>0</v>
      </c>
      <c r="CX30" s="2">
        <f t="shared" si="36"/>
        <v>0</v>
      </c>
      <c r="CY30" s="2">
        <f t="shared" si="37"/>
        <v>0</v>
      </c>
      <c r="CZ30" s="2">
        <f t="shared" si="38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30</v>
      </c>
      <c r="DW30" s="2" t="s">
        <v>30</v>
      </c>
      <c r="DX30" s="2">
        <v>1</v>
      </c>
      <c r="DY30" s="2"/>
      <c r="DZ30" s="2"/>
      <c r="EA30" s="2"/>
      <c r="EB30" s="2"/>
      <c r="EC30" s="2"/>
      <c r="ED30" s="2"/>
      <c r="EE30" s="2">
        <v>32653299</v>
      </c>
      <c r="EF30" s="2">
        <v>20</v>
      </c>
      <c r="EG30" s="2" t="s">
        <v>31</v>
      </c>
      <c r="EH30" s="2">
        <v>0</v>
      </c>
      <c r="EI30" s="2" t="s">
        <v>6</v>
      </c>
      <c r="EJ30" s="2">
        <v>1</v>
      </c>
      <c r="EK30" s="2">
        <v>0</v>
      </c>
      <c r="EL30" s="2" t="s">
        <v>32</v>
      </c>
      <c r="EM30" s="2" t="s">
        <v>33</v>
      </c>
      <c r="EN30" s="2"/>
      <c r="EO30" s="2" t="s">
        <v>6</v>
      </c>
      <c r="EP30" s="2"/>
      <c r="EQ30" s="2">
        <v>0</v>
      </c>
      <c r="ER30" s="2">
        <v>0</v>
      </c>
      <c r="ES30" s="2">
        <v>1233.33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106</v>
      </c>
      <c r="FY30" s="2">
        <v>65</v>
      </c>
      <c r="FZ30" s="2"/>
      <c r="GA30" s="2" t="s">
        <v>40</v>
      </c>
      <c r="GB30" s="2"/>
      <c r="GC30" s="2"/>
      <c r="GD30" s="2">
        <v>0</v>
      </c>
      <c r="GE30" s="2"/>
      <c r="GF30" s="2">
        <v>-758806920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0"/>
        <v>0</v>
      </c>
      <c r="GM30" s="2">
        <f t="shared" si="41"/>
        <v>2467</v>
      </c>
      <c r="GN30" s="2">
        <f t="shared" si="42"/>
        <v>2467</v>
      </c>
      <c r="GO30" s="2">
        <f t="shared" si="43"/>
        <v>0</v>
      </c>
      <c r="GP30" s="2">
        <f t="shared" si="44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12</v>
      </c>
      <c r="E31" t="s">
        <v>38</v>
      </c>
      <c r="F31" t="str">
        <f>'1.Смета.или.Акт'!B55</f>
        <v>Накладная</v>
      </c>
      <c r="G31" t="str">
        <f>'1.Смета.или.Акт'!C55</f>
        <v>Коммутатор MikroTik CRS109-8G-1S-2HND-IN</v>
      </c>
      <c r="H31" t="s">
        <v>30</v>
      </c>
      <c r="I31">
        <f>I25*J31</f>
        <v>2</v>
      </c>
      <c r="J31">
        <v>0.11764705882352941</v>
      </c>
      <c r="O31">
        <f t="shared" si="14"/>
        <v>18500</v>
      </c>
      <c r="P31">
        <f t="shared" si="15"/>
        <v>18500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34649991</v>
      </c>
      <c r="AB31">
        <f t="shared" si="25"/>
        <v>1233.33</v>
      </c>
      <c r="AC31">
        <f t="shared" si="47"/>
        <v>1233.33</v>
      </c>
      <c r="AD31">
        <f t="shared" si="48"/>
        <v>0</v>
      </c>
      <c r="AE31">
        <f t="shared" si="49"/>
        <v>0</v>
      </c>
      <c r="AF31">
        <f t="shared" si="50"/>
        <v>0</v>
      </c>
      <c r="AG31">
        <f t="shared" si="26"/>
        <v>0</v>
      </c>
      <c r="AH31">
        <f t="shared" si="51"/>
        <v>0</v>
      </c>
      <c r="AI31">
        <f t="shared" si="52"/>
        <v>0</v>
      </c>
      <c r="AJ31">
        <f t="shared" si="27"/>
        <v>0</v>
      </c>
      <c r="AK31">
        <v>1233.33</v>
      </c>
      <c r="AL31" s="55">
        <f>'1.Смета.или.Акт'!F55</f>
        <v>1233.33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90</v>
      </c>
      <c r="AU31">
        <v>52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'1.Смета.или.Акт'!J55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6</v>
      </c>
      <c r="BM31">
        <v>0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106</v>
      </c>
      <c r="CA31">
        <v>65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28"/>
        <v>18500</v>
      </c>
      <c r="CQ31">
        <f t="shared" si="29"/>
        <v>9249.9749999999985</v>
      </c>
      <c r="CR31">
        <f t="shared" si="30"/>
        <v>0</v>
      </c>
      <c r="CS31">
        <f t="shared" si="31"/>
        <v>0</v>
      </c>
      <c r="CT31">
        <f t="shared" si="32"/>
        <v>0</v>
      </c>
      <c r="CU31">
        <f t="shared" si="33"/>
        <v>0</v>
      </c>
      <c r="CV31">
        <f t="shared" si="34"/>
        <v>0</v>
      </c>
      <c r="CW31">
        <f t="shared" si="35"/>
        <v>0</v>
      </c>
      <c r="CX31">
        <f t="shared" si="36"/>
        <v>0</v>
      </c>
      <c r="CY31">
        <f t="shared" si="37"/>
        <v>0</v>
      </c>
      <c r="CZ31">
        <f t="shared" si="38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30</v>
      </c>
      <c r="DW31" t="str">
        <f>'1.Смета.или.Акт'!D55</f>
        <v>шт.</v>
      </c>
      <c r="DX31">
        <v>1</v>
      </c>
      <c r="EE31">
        <v>32653299</v>
      </c>
      <c r="EF31">
        <v>20</v>
      </c>
      <c r="EG31" t="s">
        <v>31</v>
      </c>
      <c r="EH31">
        <v>0</v>
      </c>
      <c r="EI31" t="s">
        <v>6</v>
      </c>
      <c r="EJ31">
        <v>1</v>
      </c>
      <c r="EK31">
        <v>0</v>
      </c>
      <c r="EL31" t="s">
        <v>32</v>
      </c>
      <c r="EM31" t="s">
        <v>33</v>
      </c>
      <c r="EO31" t="s">
        <v>6</v>
      </c>
      <c r="EQ31">
        <v>0</v>
      </c>
      <c r="ER31">
        <v>1233.33</v>
      </c>
      <c r="ES31" s="55">
        <f>'1.Смета.или.Акт'!F55</f>
        <v>1233.33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9250</v>
      </c>
      <c r="FQ31">
        <v>0</v>
      </c>
      <c r="FR31">
        <f t="shared" si="39"/>
        <v>0</v>
      </c>
      <c r="FS31">
        <v>0</v>
      </c>
      <c r="FV31" t="s">
        <v>25</v>
      </c>
      <c r="FW31" t="s">
        <v>26</v>
      </c>
      <c r="FX31">
        <v>106</v>
      </c>
      <c r="FY31">
        <v>65</v>
      </c>
      <c r="GA31" t="s">
        <v>40</v>
      </c>
      <c r="GD31">
        <v>0</v>
      </c>
      <c r="GF31">
        <v>-758806920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0"/>
        <v>0</v>
      </c>
      <c r="GM31">
        <f t="shared" si="41"/>
        <v>18500</v>
      </c>
      <c r="GN31">
        <f t="shared" si="42"/>
        <v>18500</v>
      </c>
      <c r="GO31">
        <f t="shared" si="43"/>
        <v>0</v>
      </c>
      <c r="GP31">
        <f t="shared" si="44"/>
        <v>0</v>
      </c>
      <c r="GR31">
        <v>1</v>
      </c>
      <c r="GS31">
        <v>1</v>
      </c>
      <c r="GT31">
        <v>0</v>
      </c>
      <c r="GU31" t="s">
        <v>6</v>
      </c>
      <c r="GV31">
        <f t="shared" si="45"/>
        <v>0</v>
      </c>
      <c r="GW31">
        <v>1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4</v>
      </c>
      <c r="D32" s="2"/>
      <c r="E32" s="2" t="s">
        <v>41</v>
      </c>
      <c r="F32" s="2" t="s">
        <v>28</v>
      </c>
      <c r="G32" s="2" t="s">
        <v>42</v>
      </c>
      <c r="H32" s="2" t="s">
        <v>30</v>
      </c>
      <c r="I32" s="2">
        <f>I24*J32</f>
        <v>8</v>
      </c>
      <c r="J32" s="2">
        <v>0.47058823529411764</v>
      </c>
      <c r="K32" s="2"/>
      <c r="L32" s="2"/>
      <c r="M32" s="2"/>
      <c r="N32" s="2"/>
      <c r="O32" s="2">
        <f t="shared" si="14"/>
        <v>13017</v>
      </c>
      <c r="P32" s="2">
        <f t="shared" si="15"/>
        <v>13017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34649990</v>
      </c>
      <c r="AB32" s="2">
        <f t="shared" si="25"/>
        <v>1627.12</v>
      </c>
      <c r="AC32" s="2">
        <f t="shared" si="47"/>
        <v>1627.12</v>
      </c>
      <c r="AD32" s="2">
        <f t="shared" si="48"/>
        <v>0</v>
      </c>
      <c r="AE32" s="2">
        <f t="shared" si="49"/>
        <v>0</v>
      </c>
      <c r="AF32" s="2">
        <f t="shared" si="50"/>
        <v>0</v>
      </c>
      <c r="AG32" s="2">
        <f t="shared" si="26"/>
        <v>0</v>
      </c>
      <c r="AH32" s="2">
        <f t="shared" si="51"/>
        <v>0</v>
      </c>
      <c r="AI32" s="2">
        <f t="shared" si="52"/>
        <v>0</v>
      </c>
      <c r="AJ32" s="2">
        <f t="shared" si="27"/>
        <v>0</v>
      </c>
      <c r="AK32" s="2">
        <v>1627.12</v>
      </c>
      <c r="AL32" s="2">
        <v>1627.12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28"/>
        <v>13017</v>
      </c>
      <c r="CQ32" s="2">
        <f t="shared" si="29"/>
        <v>1627.12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30</v>
      </c>
      <c r="DW32" s="2" t="s">
        <v>30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31</v>
      </c>
      <c r="EH32" s="2">
        <v>0</v>
      </c>
      <c r="EI32" s="2" t="s">
        <v>6</v>
      </c>
      <c r="EJ32" s="2">
        <v>1</v>
      </c>
      <c r="EK32" s="2">
        <v>0</v>
      </c>
      <c r="EL32" s="2" t="s">
        <v>32</v>
      </c>
      <c r="EM32" s="2" t="s">
        <v>33</v>
      </c>
      <c r="EN32" s="2"/>
      <c r="EO32" s="2" t="s">
        <v>6</v>
      </c>
      <c r="EP32" s="2"/>
      <c r="EQ32" s="2">
        <v>0</v>
      </c>
      <c r="ER32" s="2">
        <v>0</v>
      </c>
      <c r="ES32" s="2">
        <v>1627.12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43</v>
      </c>
      <c r="GB32" s="2"/>
      <c r="GC32" s="2"/>
      <c r="GD32" s="2">
        <v>0</v>
      </c>
      <c r="GE32" s="2"/>
      <c r="GF32" s="2">
        <v>70547051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0"/>
        <v>0</v>
      </c>
      <c r="GM32" s="2">
        <f t="shared" si="41"/>
        <v>13017</v>
      </c>
      <c r="GN32" s="2">
        <f t="shared" si="42"/>
        <v>13017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11</v>
      </c>
      <c r="E33" t="s">
        <v>41</v>
      </c>
      <c r="F33" t="str">
        <f>'1.Смета.или.Акт'!B57</f>
        <v>Накладная</v>
      </c>
      <c r="G33" t="str">
        <f>'1.Смета.или.Акт'!C57</f>
        <v>Диск жесткий 4ТВ WD Gold SATA III 6 Gb/s</v>
      </c>
      <c r="H33" t="s">
        <v>30</v>
      </c>
      <c r="I33">
        <f>I25*J33</f>
        <v>8</v>
      </c>
      <c r="J33">
        <v>0.47058823529411764</v>
      </c>
      <c r="O33">
        <f t="shared" si="14"/>
        <v>97627</v>
      </c>
      <c r="P33">
        <f t="shared" si="15"/>
        <v>97627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34649991</v>
      </c>
      <c r="AB33">
        <f t="shared" si="25"/>
        <v>1627.12</v>
      </c>
      <c r="AC33">
        <f t="shared" si="47"/>
        <v>1627.12</v>
      </c>
      <c r="AD33">
        <f t="shared" si="48"/>
        <v>0</v>
      </c>
      <c r="AE33">
        <f t="shared" si="49"/>
        <v>0</v>
      </c>
      <c r="AF33">
        <f t="shared" si="50"/>
        <v>0</v>
      </c>
      <c r="AG33">
        <f t="shared" si="26"/>
        <v>0</v>
      </c>
      <c r="AH33">
        <f t="shared" si="51"/>
        <v>0</v>
      </c>
      <c r="AI33">
        <f t="shared" si="52"/>
        <v>0</v>
      </c>
      <c r="AJ33">
        <f t="shared" si="27"/>
        <v>0</v>
      </c>
      <c r="AK33">
        <v>1627.12</v>
      </c>
      <c r="AL33" s="55">
        <f>'1.Смета.или.Акт'!F57</f>
        <v>1627.12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'1.Смета.или.Акт'!J57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28"/>
        <v>97627</v>
      </c>
      <c r="CQ33">
        <f t="shared" si="29"/>
        <v>12203.4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30</v>
      </c>
      <c r="DW33" t="str">
        <f>'1.Смета.или.Акт'!D57</f>
        <v>шт.</v>
      </c>
      <c r="DX33">
        <v>1</v>
      </c>
      <c r="EE33">
        <v>32653299</v>
      </c>
      <c r="EF33">
        <v>20</v>
      </c>
      <c r="EG33" t="s">
        <v>31</v>
      </c>
      <c r="EH33">
        <v>0</v>
      </c>
      <c r="EI33" t="s">
        <v>6</v>
      </c>
      <c r="EJ33">
        <v>1</v>
      </c>
      <c r="EK33">
        <v>0</v>
      </c>
      <c r="EL33" t="s">
        <v>32</v>
      </c>
      <c r="EM33" t="s">
        <v>33</v>
      </c>
      <c r="EO33" t="s">
        <v>6</v>
      </c>
      <c r="EQ33">
        <v>0</v>
      </c>
      <c r="ER33">
        <v>1627.12</v>
      </c>
      <c r="ES33" s="55">
        <f>'1.Смета.или.Акт'!F57</f>
        <v>1627.12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12203.39</v>
      </c>
      <c r="FQ33">
        <v>0</v>
      </c>
      <c r="FR33">
        <f t="shared" si="39"/>
        <v>0</v>
      </c>
      <c r="FS33">
        <v>0</v>
      </c>
      <c r="FV33" t="s">
        <v>25</v>
      </c>
      <c r="FW33" t="s">
        <v>26</v>
      </c>
      <c r="FX33">
        <v>106</v>
      </c>
      <c r="FY33">
        <v>65</v>
      </c>
      <c r="GA33" t="s">
        <v>43</v>
      </c>
      <c r="GD33">
        <v>0</v>
      </c>
      <c r="GF33">
        <v>70547051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0"/>
        <v>0</v>
      </c>
      <c r="GM33">
        <f t="shared" si="41"/>
        <v>97627</v>
      </c>
      <c r="GN33">
        <f t="shared" si="42"/>
        <v>97627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6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</v>
      </c>
      <c r="D34" s="2"/>
      <c r="E34" s="2" t="s">
        <v>44</v>
      </c>
      <c r="F34" s="2" t="s">
        <v>28</v>
      </c>
      <c r="G34" s="2" t="s">
        <v>45</v>
      </c>
      <c r="H34" s="2" t="s">
        <v>30</v>
      </c>
      <c r="I34" s="2">
        <f>I24*J34</f>
        <v>2</v>
      </c>
      <c r="J34" s="2">
        <v>0.11764705882352941</v>
      </c>
      <c r="K34" s="2"/>
      <c r="L34" s="2"/>
      <c r="M34" s="2"/>
      <c r="N34" s="2"/>
      <c r="O34" s="2">
        <f t="shared" si="14"/>
        <v>11904</v>
      </c>
      <c r="P34" s="2">
        <f t="shared" si="15"/>
        <v>11904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34649990</v>
      </c>
      <c r="AB34" s="2">
        <f t="shared" si="25"/>
        <v>5952</v>
      </c>
      <c r="AC34" s="2">
        <f t="shared" si="47"/>
        <v>5952</v>
      </c>
      <c r="AD34" s="2">
        <f t="shared" si="48"/>
        <v>0</v>
      </c>
      <c r="AE34" s="2">
        <f t="shared" si="49"/>
        <v>0</v>
      </c>
      <c r="AF34" s="2">
        <f t="shared" si="50"/>
        <v>0</v>
      </c>
      <c r="AG34" s="2">
        <f t="shared" si="26"/>
        <v>0</v>
      </c>
      <c r="AH34" s="2">
        <f t="shared" si="51"/>
        <v>0</v>
      </c>
      <c r="AI34" s="2">
        <f t="shared" si="52"/>
        <v>0</v>
      </c>
      <c r="AJ34" s="2">
        <f t="shared" si="27"/>
        <v>0</v>
      </c>
      <c r="AK34" s="2">
        <v>5952</v>
      </c>
      <c r="AL34" s="2">
        <v>5952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46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28"/>
        <v>11904</v>
      </c>
      <c r="CQ34" s="2">
        <f t="shared" si="29"/>
        <v>5952</v>
      </c>
      <c r="CR34" s="2">
        <f t="shared" si="30"/>
        <v>0</v>
      </c>
      <c r="CS34" s="2">
        <f t="shared" si="31"/>
        <v>0</v>
      </c>
      <c r="CT34" s="2">
        <f t="shared" si="32"/>
        <v>0</v>
      </c>
      <c r="CU34" s="2">
        <f t="shared" si="33"/>
        <v>0</v>
      </c>
      <c r="CV34" s="2">
        <f t="shared" si="34"/>
        <v>0</v>
      </c>
      <c r="CW34" s="2">
        <f t="shared" si="35"/>
        <v>0</v>
      </c>
      <c r="CX34" s="2">
        <f t="shared" si="36"/>
        <v>0</v>
      </c>
      <c r="CY34" s="2">
        <f t="shared" si="37"/>
        <v>0</v>
      </c>
      <c r="CZ34" s="2">
        <f t="shared" si="38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30</v>
      </c>
      <c r="DW34" s="2" t="s">
        <v>30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31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47</v>
      </c>
      <c r="EM34" s="2" t="s">
        <v>48</v>
      </c>
      <c r="EN34" s="2"/>
      <c r="EO34" s="2" t="s">
        <v>6</v>
      </c>
      <c r="EP34" s="2"/>
      <c r="EQ34" s="2">
        <v>0</v>
      </c>
      <c r="ER34" s="2">
        <v>28.22</v>
      </c>
      <c r="ES34" s="2">
        <v>5952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39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49</v>
      </c>
      <c r="GB34" s="2"/>
      <c r="GC34" s="2"/>
      <c r="GD34" s="2">
        <v>0</v>
      </c>
      <c r="GE34" s="2"/>
      <c r="GF34" s="2">
        <v>364634474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0"/>
        <v>0</v>
      </c>
      <c r="GM34" s="2">
        <f t="shared" si="41"/>
        <v>11904</v>
      </c>
      <c r="GN34" s="2">
        <f t="shared" si="42"/>
        <v>11904</v>
      </c>
      <c r="GO34" s="2">
        <f t="shared" si="43"/>
        <v>0</v>
      </c>
      <c r="GP34" s="2">
        <f t="shared" si="44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5"/>
        <v>0</v>
      </c>
      <c r="GW34" s="2">
        <v>1</v>
      </c>
      <c r="GX34" s="2">
        <f t="shared" si="46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9</v>
      </c>
      <c r="E35" t="s">
        <v>44</v>
      </c>
      <c r="F35" t="str">
        <f>'1.Смета.или.Акт'!B59</f>
        <v>Накладная</v>
      </c>
      <c r="G35" t="str">
        <f>'1.Смета.или.Акт'!C59</f>
        <v>Источник беспереб. питания ИБП Powercom Smart-UPS King Pro RM (44640.00)</v>
      </c>
      <c r="H35" t="s">
        <v>30</v>
      </c>
      <c r="I35">
        <f>I25*J35</f>
        <v>2</v>
      </c>
      <c r="J35">
        <v>0.11764705882352941</v>
      </c>
      <c r="O35">
        <f t="shared" si="14"/>
        <v>89280</v>
      </c>
      <c r="P35">
        <f t="shared" si="15"/>
        <v>89280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34649991</v>
      </c>
      <c r="AB35">
        <f t="shared" si="25"/>
        <v>5952</v>
      </c>
      <c r="AC35">
        <f t="shared" si="47"/>
        <v>5952</v>
      </c>
      <c r="AD35">
        <f t="shared" si="48"/>
        <v>0</v>
      </c>
      <c r="AE35">
        <f t="shared" si="49"/>
        <v>0</v>
      </c>
      <c r="AF35">
        <f t="shared" si="50"/>
        <v>0</v>
      </c>
      <c r="AG35">
        <f t="shared" si="26"/>
        <v>0</v>
      </c>
      <c r="AH35">
        <f t="shared" si="51"/>
        <v>0</v>
      </c>
      <c r="AI35">
        <f t="shared" si="52"/>
        <v>0</v>
      </c>
      <c r="AJ35">
        <f t="shared" si="27"/>
        <v>0</v>
      </c>
      <c r="AK35">
        <v>5952</v>
      </c>
      <c r="AL35" s="55">
        <f>'1.Смета.или.Акт'!F59</f>
        <v>5952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'1.Смета.или.Акт'!J59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46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28"/>
        <v>89280</v>
      </c>
      <c r="CQ35">
        <f t="shared" si="29"/>
        <v>44640</v>
      </c>
      <c r="CR35">
        <f t="shared" si="30"/>
        <v>0</v>
      </c>
      <c r="CS35">
        <f t="shared" si="31"/>
        <v>0</v>
      </c>
      <c r="CT35">
        <f t="shared" si="32"/>
        <v>0</v>
      </c>
      <c r="CU35">
        <f t="shared" si="33"/>
        <v>0</v>
      </c>
      <c r="CV35">
        <f t="shared" si="34"/>
        <v>0</v>
      </c>
      <c r="CW35">
        <f t="shared" si="35"/>
        <v>0</v>
      </c>
      <c r="CX35">
        <f t="shared" si="36"/>
        <v>0</v>
      </c>
      <c r="CY35">
        <f t="shared" si="37"/>
        <v>0</v>
      </c>
      <c r="CZ35">
        <f t="shared" si="38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30</v>
      </c>
      <c r="DW35" t="str">
        <f>'1.Смета.или.Акт'!D59</f>
        <v>шт.</v>
      </c>
      <c r="DX35">
        <v>1</v>
      </c>
      <c r="EE35">
        <v>32653291</v>
      </c>
      <c r="EF35">
        <v>20</v>
      </c>
      <c r="EG35" t="s">
        <v>31</v>
      </c>
      <c r="EH35">
        <v>0</v>
      </c>
      <c r="EI35" t="s">
        <v>6</v>
      </c>
      <c r="EJ35">
        <v>1</v>
      </c>
      <c r="EK35">
        <v>500001</v>
      </c>
      <c r="EL35" t="s">
        <v>47</v>
      </c>
      <c r="EM35" t="s">
        <v>48</v>
      </c>
      <c r="EO35" t="s">
        <v>6</v>
      </c>
      <c r="EQ35">
        <v>0</v>
      </c>
      <c r="ER35">
        <v>5952</v>
      </c>
      <c r="ES35" s="55">
        <f>'1.Смета.или.Акт'!F59</f>
        <v>5952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44640</v>
      </c>
      <c r="FQ35">
        <v>0</v>
      </c>
      <c r="FR35">
        <f t="shared" si="39"/>
        <v>0</v>
      </c>
      <c r="FS35">
        <v>0</v>
      </c>
      <c r="FX35">
        <v>0</v>
      </c>
      <c r="FY35">
        <v>0</v>
      </c>
      <c r="GA35" t="s">
        <v>49</v>
      </c>
      <c r="GD35">
        <v>0</v>
      </c>
      <c r="GF35">
        <v>364634474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0"/>
        <v>0</v>
      </c>
      <c r="GM35">
        <f t="shared" si="41"/>
        <v>89280</v>
      </c>
      <c r="GN35">
        <f t="shared" si="42"/>
        <v>89280</v>
      </c>
      <c r="GO35">
        <f t="shared" si="43"/>
        <v>0</v>
      </c>
      <c r="GP35">
        <f t="shared" si="44"/>
        <v>0</v>
      </c>
      <c r="GR35">
        <v>1</v>
      </c>
      <c r="GS35">
        <v>1</v>
      </c>
      <c r="GT35">
        <v>0</v>
      </c>
      <c r="GU35" t="s">
        <v>6</v>
      </c>
      <c r="GV35">
        <f t="shared" si="45"/>
        <v>0</v>
      </c>
      <c r="GW35">
        <v>1</v>
      </c>
      <c r="GX35">
        <f t="shared" si="46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3</v>
      </c>
      <c r="D36" s="2"/>
      <c r="E36" s="2" t="s">
        <v>50</v>
      </c>
      <c r="F36" s="2" t="s">
        <v>28</v>
      </c>
      <c r="G36" s="2" t="s">
        <v>51</v>
      </c>
      <c r="H36" s="2" t="s">
        <v>30</v>
      </c>
      <c r="I36" s="2">
        <f>I24*J36</f>
        <v>2</v>
      </c>
      <c r="J36" s="2">
        <v>0.11764705882352941</v>
      </c>
      <c r="K36" s="2"/>
      <c r="L36" s="2"/>
      <c r="M36" s="2"/>
      <c r="N36" s="2"/>
      <c r="O36" s="2">
        <f t="shared" si="14"/>
        <v>2474</v>
      </c>
      <c r="P36" s="2">
        <f t="shared" si="15"/>
        <v>2474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34649990</v>
      </c>
      <c r="AB36" s="2">
        <f t="shared" si="25"/>
        <v>1236.93</v>
      </c>
      <c r="AC36" s="2">
        <f t="shared" si="47"/>
        <v>1236.93</v>
      </c>
      <c r="AD36" s="2">
        <f t="shared" si="48"/>
        <v>0</v>
      </c>
      <c r="AE36" s="2">
        <f t="shared" si="49"/>
        <v>0</v>
      </c>
      <c r="AF36" s="2">
        <f t="shared" si="50"/>
        <v>0</v>
      </c>
      <c r="AG36" s="2">
        <f t="shared" si="26"/>
        <v>0</v>
      </c>
      <c r="AH36" s="2">
        <f t="shared" si="51"/>
        <v>0</v>
      </c>
      <c r="AI36" s="2">
        <f t="shared" si="52"/>
        <v>0</v>
      </c>
      <c r="AJ36" s="2">
        <f t="shared" si="27"/>
        <v>0</v>
      </c>
      <c r="AK36" s="2">
        <v>1236.93</v>
      </c>
      <c r="AL36" s="2">
        <v>1236.93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28"/>
        <v>2474</v>
      </c>
      <c r="CQ36" s="2">
        <f t="shared" si="29"/>
        <v>1236.93</v>
      </c>
      <c r="CR36" s="2">
        <f t="shared" si="30"/>
        <v>0</v>
      </c>
      <c r="CS36" s="2">
        <f t="shared" si="31"/>
        <v>0</v>
      </c>
      <c r="CT36" s="2">
        <f t="shared" si="32"/>
        <v>0</v>
      </c>
      <c r="CU36" s="2">
        <f t="shared" si="33"/>
        <v>0</v>
      </c>
      <c r="CV36" s="2">
        <f t="shared" si="34"/>
        <v>0</v>
      </c>
      <c r="CW36" s="2">
        <f t="shared" si="35"/>
        <v>0</v>
      </c>
      <c r="CX36" s="2">
        <f t="shared" si="36"/>
        <v>0</v>
      </c>
      <c r="CY36" s="2">
        <f t="shared" si="37"/>
        <v>0</v>
      </c>
      <c r="CZ36" s="2">
        <f t="shared" si="38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30</v>
      </c>
      <c r="DW36" s="2" t="s">
        <v>30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31</v>
      </c>
      <c r="EH36" s="2">
        <v>0</v>
      </c>
      <c r="EI36" s="2" t="s">
        <v>6</v>
      </c>
      <c r="EJ36" s="2">
        <v>1</v>
      </c>
      <c r="EK36" s="2">
        <v>0</v>
      </c>
      <c r="EL36" s="2" t="s">
        <v>32</v>
      </c>
      <c r="EM36" s="2" t="s">
        <v>33</v>
      </c>
      <c r="EN36" s="2"/>
      <c r="EO36" s="2" t="s">
        <v>6</v>
      </c>
      <c r="EP36" s="2"/>
      <c r="EQ36" s="2">
        <v>0</v>
      </c>
      <c r="ER36" s="2">
        <v>1</v>
      </c>
      <c r="ES36" s="2">
        <v>1236.93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39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52</v>
      </c>
      <c r="GB36" s="2"/>
      <c r="GC36" s="2"/>
      <c r="GD36" s="2">
        <v>0</v>
      </c>
      <c r="GE36" s="2"/>
      <c r="GF36" s="2">
        <v>-1850732651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0"/>
        <v>0</v>
      </c>
      <c r="GM36" s="2">
        <f t="shared" si="41"/>
        <v>2474</v>
      </c>
      <c r="GN36" s="2">
        <f t="shared" si="42"/>
        <v>2474</v>
      </c>
      <c r="GO36" s="2">
        <f t="shared" si="43"/>
        <v>0</v>
      </c>
      <c r="GP36" s="2">
        <f t="shared" si="44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5"/>
        <v>0</v>
      </c>
      <c r="GW36" s="2">
        <v>1</v>
      </c>
      <c r="GX36" s="2">
        <f t="shared" si="46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10</v>
      </c>
      <c r="E37" t="s">
        <v>50</v>
      </c>
      <c r="F37" t="str">
        <f>'1.Смета.или.Акт'!B61</f>
        <v>Накладная</v>
      </c>
      <c r="G37" t="str">
        <f>'1.Смета.или.Акт'!C61</f>
        <v>Модуль вентиляторный 19", 9 вентиляторов</v>
      </c>
      <c r="H37" t="s">
        <v>30</v>
      </c>
      <c r="I37">
        <f>I25*J37</f>
        <v>2</v>
      </c>
      <c r="J37">
        <v>0.11764705882352941</v>
      </c>
      <c r="O37">
        <f t="shared" si="14"/>
        <v>18554</v>
      </c>
      <c r="P37">
        <f t="shared" si="15"/>
        <v>18554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34649991</v>
      </c>
      <c r="AB37">
        <f t="shared" si="25"/>
        <v>1236.93</v>
      </c>
      <c r="AC37">
        <f t="shared" si="47"/>
        <v>1236.93</v>
      </c>
      <c r="AD37">
        <f t="shared" si="48"/>
        <v>0</v>
      </c>
      <c r="AE37">
        <f t="shared" si="49"/>
        <v>0</v>
      </c>
      <c r="AF37">
        <f t="shared" si="50"/>
        <v>0</v>
      </c>
      <c r="AG37">
        <f t="shared" si="26"/>
        <v>0</v>
      </c>
      <c r="AH37">
        <f t="shared" si="51"/>
        <v>0</v>
      </c>
      <c r="AI37">
        <f t="shared" si="52"/>
        <v>0</v>
      </c>
      <c r="AJ37">
        <f t="shared" si="27"/>
        <v>0</v>
      </c>
      <c r="AK37">
        <v>1236.93</v>
      </c>
      <c r="AL37" s="55">
        <f>'1.Смета.или.Акт'!F61</f>
        <v>1236.93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'1.Смета.или.Акт'!J61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28"/>
        <v>18554</v>
      </c>
      <c r="CQ37">
        <f t="shared" si="29"/>
        <v>9276.9750000000004</v>
      </c>
      <c r="CR37">
        <f t="shared" si="30"/>
        <v>0</v>
      </c>
      <c r="CS37">
        <f t="shared" si="31"/>
        <v>0</v>
      </c>
      <c r="CT37">
        <f t="shared" si="32"/>
        <v>0</v>
      </c>
      <c r="CU37">
        <f t="shared" si="33"/>
        <v>0</v>
      </c>
      <c r="CV37">
        <f t="shared" si="34"/>
        <v>0</v>
      </c>
      <c r="CW37">
        <f t="shared" si="35"/>
        <v>0</v>
      </c>
      <c r="CX37">
        <f t="shared" si="36"/>
        <v>0</v>
      </c>
      <c r="CY37">
        <f t="shared" si="37"/>
        <v>0</v>
      </c>
      <c r="CZ37">
        <f t="shared" si="38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30</v>
      </c>
      <c r="DW37" t="str">
        <f>'1.Смета.или.Акт'!D61</f>
        <v>шт.</v>
      </c>
      <c r="DX37">
        <v>1</v>
      </c>
      <c r="EE37">
        <v>32653299</v>
      </c>
      <c r="EF37">
        <v>20</v>
      </c>
      <c r="EG37" t="s">
        <v>31</v>
      </c>
      <c r="EH37">
        <v>0</v>
      </c>
      <c r="EI37" t="s">
        <v>6</v>
      </c>
      <c r="EJ37">
        <v>1</v>
      </c>
      <c r="EK37">
        <v>0</v>
      </c>
      <c r="EL37" t="s">
        <v>32</v>
      </c>
      <c r="EM37" t="s">
        <v>33</v>
      </c>
      <c r="EO37" t="s">
        <v>6</v>
      </c>
      <c r="EQ37">
        <v>0</v>
      </c>
      <c r="ER37">
        <v>1236.93</v>
      </c>
      <c r="ES37" s="55">
        <f>'1.Смета.или.Акт'!F61</f>
        <v>1236.93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9277</v>
      </c>
      <c r="FQ37">
        <v>0</v>
      </c>
      <c r="FR37">
        <f t="shared" si="39"/>
        <v>0</v>
      </c>
      <c r="FS37">
        <v>0</v>
      </c>
      <c r="FV37" t="s">
        <v>25</v>
      </c>
      <c r="FW37" t="s">
        <v>26</v>
      </c>
      <c r="FX37">
        <v>106</v>
      </c>
      <c r="FY37">
        <v>65</v>
      </c>
      <c r="GA37" t="s">
        <v>52</v>
      </c>
      <c r="GD37">
        <v>0</v>
      </c>
      <c r="GF37">
        <v>-1850732651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0"/>
        <v>0</v>
      </c>
      <c r="GM37">
        <f t="shared" si="41"/>
        <v>18554</v>
      </c>
      <c r="GN37">
        <f t="shared" si="42"/>
        <v>18554</v>
      </c>
      <c r="GO37">
        <f t="shared" si="43"/>
        <v>0</v>
      </c>
      <c r="GP37">
        <f t="shared" si="44"/>
        <v>0</v>
      </c>
      <c r="GR37">
        <v>1</v>
      </c>
      <c r="GS37">
        <v>1</v>
      </c>
      <c r="GT37">
        <v>0</v>
      </c>
      <c r="GU37" t="s">
        <v>6</v>
      </c>
      <c r="GV37">
        <f t="shared" si="45"/>
        <v>0</v>
      </c>
      <c r="GW37">
        <v>1</v>
      </c>
      <c r="GX37">
        <f t="shared" si="46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ROW(SmtRes!A18)</f>
        <v>18</v>
      </c>
      <c r="D38" s="2">
        <f>ROW(EtalonRes!A10)</f>
        <v>10</v>
      </c>
      <c r="E38" s="2" t="s">
        <v>53</v>
      </c>
      <c r="F38" s="2" t="s">
        <v>54</v>
      </c>
      <c r="G38" s="2" t="s">
        <v>55</v>
      </c>
      <c r="H38" s="2" t="s">
        <v>56</v>
      </c>
      <c r="I38" s="2">
        <f>'1.Смета.или.Акт'!E64</f>
        <v>3.05</v>
      </c>
      <c r="J38" s="2">
        <v>0</v>
      </c>
      <c r="K38" s="2"/>
      <c r="L38" s="2"/>
      <c r="M38" s="2"/>
      <c r="N38" s="2"/>
      <c r="O38" s="2">
        <f t="shared" si="14"/>
        <v>423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423</v>
      </c>
      <c r="T38" s="2">
        <f t="shared" si="19"/>
        <v>0</v>
      </c>
      <c r="U38" s="2">
        <f t="shared" si="20"/>
        <v>38.169224999999997</v>
      </c>
      <c r="V38" s="2">
        <f t="shared" si="21"/>
        <v>0</v>
      </c>
      <c r="W38" s="2">
        <f t="shared" si="22"/>
        <v>0</v>
      </c>
      <c r="X38" s="2">
        <f t="shared" si="23"/>
        <v>338</v>
      </c>
      <c r="Y38" s="2">
        <f t="shared" si="24"/>
        <v>254</v>
      </c>
      <c r="Z38" s="2"/>
      <c r="AA38" s="2">
        <v>34649990</v>
      </c>
      <c r="AB38" s="2">
        <f t="shared" si="25"/>
        <v>138.79</v>
      </c>
      <c r="AC38" s="2">
        <f>ROUND((ES38+(SUM(SmtRes!BC15:'SmtRes'!BC18)+SUM(EtalonRes!AL7:'EtalonRes'!AL10))),2)</f>
        <v>0.01</v>
      </c>
      <c r="AD38" s="2">
        <f>ROUND(((((ET38*1.35))-((EU38*1.35)))+AE38),2)</f>
        <v>0</v>
      </c>
      <c r="AE38" s="2">
        <f>ROUND(((EU38*1.35)),2)</f>
        <v>0</v>
      </c>
      <c r="AF38" s="2">
        <f>ROUND(((EV38*1.35)),2)</f>
        <v>138.78</v>
      </c>
      <c r="AG38" s="2">
        <f t="shared" si="26"/>
        <v>0</v>
      </c>
      <c r="AH38" s="2">
        <f>((EW38*1.35))</f>
        <v>12.5145</v>
      </c>
      <c r="AI38" s="2">
        <f>((EX38*1.35))</f>
        <v>0</v>
      </c>
      <c r="AJ38" s="2">
        <f t="shared" si="27"/>
        <v>0</v>
      </c>
      <c r="AK38" s="2">
        <v>117.17</v>
      </c>
      <c r="AL38" s="2">
        <v>14.37</v>
      </c>
      <c r="AM38" s="2">
        <v>0</v>
      </c>
      <c r="AN38" s="2">
        <v>0</v>
      </c>
      <c r="AO38" s="2">
        <v>102.8</v>
      </c>
      <c r="AP38" s="2">
        <v>0</v>
      </c>
      <c r="AQ38" s="2">
        <v>9.27</v>
      </c>
      <c r="AR38" s="2">
        <v>0</v>
      </c>
      <c r="AS38" s="2">
        <v>0</v>
      </c>
      <c r="AT38" s="2">
        <v>80</v>
      </c>
      <c r="AU38" s="2">
        <v>60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0</v>
      </c>
      <c r="BI38" s="2">
        <v>2</v>
      </c>
      <c r="BJ38" s="2" t="s">
        <v>57</v>
      </c>
      <c r="BK38" s="2"/>
      <c r="BL38" s="2"/>
      <c r="BM38" s="2">
        <v>111003</v>
      </c>
      <c r="BN38" s="2">
        <v>0</v>
      </c>
      <c r="BO38" s="2" t="s">
        <v>6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80</v>
      </c>
      <c r="CA38" s="2">
        <v>60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19</v>
      </c>
      <c r="CO38" s="2">
        <v>0</v>
      </c>
      <c r="CP38" s="2">
        <f t="shared" si="28"/>
        <v>423</v>
      </c>
      <c r="CQ38" s="2">
        <f t="shared" si="29"/>
        <v>0.01</v>
      </c>
      <c r="CR38" s="2">
        <f t="shared" si="30"/>
        <v>0</v>
      </c>
      <c r="CS38" s="2">
        <f t="shared" si="31"/>
        <v>0</v>
      </c>
      <c r="CT38" s="2">
        <f t="shared" si="32"/>
        <v>138.78</v>
      </c>
      <c r="CU38" s="2">
        <f t="shared" si="33"/>
        <v>0</v>
      </c>
      <c r="CV38" s="2">
        <f t="shared" si="34"/>
        <v>12.5145</v>
      </c>
      <c r="CW38" s="2">
        <f t="shared" si="35"/>
        <v>0</v>
      </c>
      <c r="CX38" s="2">
        <f t="shared" si="36"/>
        <v>0</v>
      </c>
      <c r="CY38" s="2">
        <f t="shared" si="37"/>
        <v>338.4</v>
      </c>
      <c r="CZ38" s="2">
        <f t="shared" si="38"/>
        <v>253.8</v>
      </c>
      <c r="DA38" s="2"/>
      <c r="DB38" s="2"/>
      <c r="DC38" s="2" t="s">
        <v>6</v>
      </c>
      <c r="DD38" s="2" t="s">
        <v>6</v>
      </c>
      <c r="DE38" s="2" t="s">
        <v>20</v>
      </c>
      <c r="DF38" s="2" t="s">
        <v>20</v>
      </c>
      <c r="DG38" s="2" t="s">
        <v>20</v>
      </c>
      <c r="DH38" s="2" t="s">
        <v>6</v>
      </c>
      <c r="DI38" s="2" t="s">
        <v>20</v>
      </c>
      <c r="DJ38" s="2" t="s">
        <v>20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56</v>
      </c>
      <c r="DW38" s="2" t="s">
        <v>56</v>
      </c>
      <c r="DX38" s="2">
        <v>100</v>
      </c>
      <c r="DY38" s="2"/>
      <c r="DZ38" s="2"/>
      <c r="EA38" s="2"/>
      <c r="EB38" s="2"/>
      <c r="EC38" s="2"/>
      <c r="ED38" s="2"/>
      <c r="EE38" s="2">
        <v>32653249</v>
      </c>
      <c r="EF38" s="2">
        <v>2</v>
      </c>
      <c r="EG38" s="2" t="s">
        <v>21</v>
      </c>
      <c r="EH38" s="2">
        <v>0</v>
      </c>
      <c r="EI38" s="2" t="s">
        <v>6</v>
      </c>
      <c r="EJ38" s="2">
        <v>2</v>
      </c>
      <c r="EK38" s="2">
        <v>111003</v>
      </c>
      <c r="EL38" s="2" t="s">
        <v>22</v>
      </c>
      <c r="EM38" s="2" t="s">
        <v>23</v>
      </c>
      <c r="EN38" s="2"/>
      <c r="EO38" s="2" t="s">
        <v>24</v>
      </c>
      <c r="EP38" s="2"/>
      <c r="EQ38" s="2">
        <v>0</v>
      </c>
      <c r="ER38" s="2">
        <v>117.17</v>
      </c>
      <c r="ES38" s="2">
        <v>14.37</v>
      </c>
      <c r="ET38" s="2">
        <v>0</v>
      </c>
      <c r="EU38" s="2">
        <v>0</v>
      </c>
      <c r="EV38" s="2">
        <v>102.8</v>
      </c>
      <c r="EW38" s="2">
        <v>9.27</v>
      </c>
      <c r="EX38" s="2">
        <v>0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39"/>
        <v>0</v>
      </c>
      <c r="FS38" s="2">
        <v>0</v>
      </c>
      <c r="FT38" s="2"/>
      <c r="FU38" s="2"/>
      <c r="FV38" s="2"/>
      <c r="FW38" s="2"/>
      <c r="FX38" s="2">
        <v>80</v>
      </c>
      <c r="FY38" s="2">
        <v>60</v>
      </c>
      <c r="FZ38" s="2"/>
      <c r="GA38" s="2" t="s">
        <v>6</v>
      </c>
      <c r="GB38" s="2"/>
      <c r="GC38" s="2"/>
      <c r="GD38" s="2">
        <v>0</v>
      </c>
      <c r="GE38" s="2"/>
      <c r="GF38" s="2">
        <v>-391258795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0"/>
        <v>0</v>
      </c>
      <c r="GM38" s="2">
        <f t="shared" si="41"/>
        <v>1015</v>
      </c>
      <c r="GN38" s="2">
        <f t="shared" si="42"/>
        <v>0</v>
      </c>
      <c r="GO38" s="2">
        <f t="shared" si="43"/>
        <v>1015</v>
      </c>
      <c r="GP38" s="2">
        <f t="shared" si="44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45"/>
        <v>0</v>
      </c>
      <c r="GW38" s="2">
        <v>1</v>
      </c>
      <c r="GX38" s="2">
        <f t="shared" si="46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ROW(SmtRes!A22)</f>
        <v>22</v>
      </c>
      <c r="D39">
        <f>ROW(EtalonRes!A14)</f>
        <v>14</v>
      </c>
      <c r="E39" t="s">
        <v>53</v>
      </c>
      <c r="F39" t="s">
        <v>54</v>
      </c>
      <c r="G39" t="s">
        <v>55</v>
      </c>
      <c r="H39" t="s">
        <v>56</v>
      </c>
      <c r="I39">
        <f>'1.Смета.или.Акт'!E64</f>
        <v>3.05</v>
      </c>
      <c r="J39">
        <v>0</v>
      </c>
      <c r="O39">
        <f t="shared" si="14"/>
        <v>7746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7746</v>
      </c>
      <c r="T39">
        <f t="shared" si="19"/>
        <v>0</v>
      </c>
      <c r="U39">
        <f t="shared" si="20"/>
        <v>38.169224999999997</v>
      </c>
      <c r="V39">
        <f t="shared" si="21"/>
        <v>0</v>
      </c>
      <c r="W39">
        <f t="shared" si="22"/>
        <v>0</v>
      </c>
      <c r="X39">
        <f t="shared" si="23"/>
        <v>5267</v>
      </c>
      <c r="Y39">
        <f t="shared" si="24"/>
        <v>3718</v>
      </c>
      <c r="AA39">
        <v>34649991</v>
      </c>
      <c r="AB39">
        <f t="shared" si="25"/>
        <v>138.79</v>
      </c>
      <c r="AC39">
        <f>ROUND((ES39+(SUM(SmtRes!BC19:'SmtRes'!BC22)+SUM(EtalonRes!AL11:'EtalonRes'!AL14))),2)</f>
        <v>0.01</v>
      </c>
      <c r="AD39">
        <f>ROUND(((((ET39*1.35))-((EU39*1.35)))+AE39),2)</f>
        <v>0</v>
      </c>
      <c r="AE39">
        <f>ROUND(((EU39*1.35)),2)</f>
        <v>0</v>
      </c>
      <c r="AF39">
        <f>ROUND(((EV39*1.35)),2)</f>
        <v>138.78</v>
      </c>
      <c r="AG39">
        <f t="shared" si="26"/>
        <v>0</v>
      </c>
      <c r="AH39">
        <f>((EW39*1.35))</f>
        <v>12.5145</v>
      </c>
      <c r="AI39">
        <f>((EX39*1.35))</f>
        <v>0</v>
      </c>
      <c r="AJ39">
        <f t="shared" si="27"/>
        <v>0</v>
      </c>
      <c r="AK39">
        <f>AL39+AM39+AO39</f>
        <v>117.17</v>
      </c>
      <c r="AL39" s="55">
        <f>'1.Смета.или.Акт'!F66</f>
        <v>14.37</v>
      </c>
      <c r="AM39">
        <v>0</v>
      </c>
      <c r="AN39">
        <v>0</v>
      </c>
      <c r="AO39" s="55">
        <f>'1.Смета.или.Акт'!F65</f>
        <v>102.8</v>
      </c>
      <c r="AP39">
        <v>0</v>
      </c>
      <c r="AQ39">
        <f>'1.Смета.или.Акт'!E69</f>
        <v>9.27</v>
      </c>
      <c r="AR39">
        <v>0</v>
      </c>
      <c r="AS39">
        <v>0</v>
      </c>
      <c r="AT39">
        <v>68</v>
      </c>
      <c r="AU39">
        <v>48</v>
      </c>
      <c r="AV39">
        <v>1</v>
      </c>
      <c r="AW39">
        <v>1</v>
      </c>
      <c r="AZ39">
        <v>1</v>
      </c>
      <c r="BA39">
        <f>'1.Смета.или.Акт'!J65</f>
        <v>18.3</v>
      </c>
      <c r="BB39">
        <v>12.5</v>
      </c>
      <c r="BC39">
        <f>'1.Смета.или.Акт'!J66</f>
        <v>7.5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2</v>
      </c>
      <c r="BJ39" t="s">
        <v>57</v>
      </c>
      <c r="BM39">
        <v>111003</v>
      </c>
      <c r="BN39">
        <v>0</v>
      </c>
      <c r="BO39" t="s">
        <v>6</v>
      </c>
      <c r="BP39">
        <v>0</v>
      </c>
      <c r="BQ39">
        <v>2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80</v>
      </c>
      <c r="CA39">
        <v>60</v>
      </c>
      <c r="CF39">
        <v>0</v>
      </c>
      <c r="CG39">
        <v>0</v>
      </c>
      <c r="CM39">
        <v>0</v>
      </c>
      <c r="CN39" t="s">
        <v>19</v>
      </c>
      <c r="CO39">
        <v>0</v>
      </c>
      <c r="CP39">
        <f t="shared" si="28"/>
        <v>7746</v>
      </c>
      <c r="CQ39">
        <f t="shared" si="29"/>
        <v>7.4999999999999997E-2</v>
      </c>
      <c r="CR39">
        <f t="shared" si="30"/>
        <v>0</v>
      </c>
      <c r="CS39">
        <f t="shared" si="31"/>
        <v>0</v>
      </c>
      <c r="CT39">
        <f t="shared" si="32"/>
        <v>2539.674</v>
      </c>
      <c r="CU39">
        <f t="shared" si="33"/>
        <v>0</v>
      </c>
      <c r="CV39">
        <f t="shared" si="34"/>
        <v>12.5145</v>
      </c>
      <c r="CW39">
        <f t="shared" si="35"/>
        <v>0</v>
      </c>
      <c r="CX39">
        <f t="shared" si="36"/>
        <v>0</v>
      </c>
      <c r="CY39">
        <f t="shared" si="37"/>
        <v>5267.28</v>
      </c>
      <c r="CZ39">
        <f t="shared" si="38"/>
        <v>3718.08</v>
      </c>
      <c r="DC39" t="s">
        <v>6</v>
      </c>
      <c r="DD39" t="s">
        <v>6</v>
      </c>
      <c r="DE39" t="s">
        <v>20</v>
      </c>
      <c r="DF39" t="s">
        <v>20</v>
      </c>
      <c r="DG39" t="s">
        <v>20</v>
      </c>
      <c r="DH39" t="s">
        <v>6</v>
      </c>
      <c r="DI39" t="s">
        <v>20</v>
      </c>
      <c r="DJ39" t="s">
        <v>20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56</v>
      </c>
      <c r="DW39" t="str">
        <f>'1.Смета.или.Акт'!D64</f>
        <v>100 м</v>
      </c>
      <c r="DX39">
        <v>100</v>
      </c>
      <c r="EE39">
        <v>32653249</v>
      </c>
      <c r="EF39">
        <v>2</v>
      </c>
      <c r="EG39" t="s">
        <v>21</v>
      </c>
      <c r="EH39">
        <v>0</v>
      </c>
      <c r="EI39" t="s">
        <v>6</v>
      </c>
      <c r="EJ39">
        <v>2</v>
      </c>
      <c r="EK39">
        <v>111003</v>
      </c>
      <c r="EL39" t="s">
        <v>22</v>
      </c>
      <c r="EM39" t="s">
        <v>23</v>
      </c>
      <c r="EO39" t="s">
        <v>24</v>
      </c>
      <c r="EQ39">
        <v>0</v>
      </c>
      <c r="ER39">
        <f>ES39+ET39+EV39</f>
        <v>117.17</v>
      </c>
      <c r="ES39" s="55">
        <f>'1.Смета.или.Акт'!F66</f>
        <v>14.37</v>
      </c>
      <c r="ET39">
        <v>0</v>
      </c>
      <c r="EU39">
        <v>0</v>
      </c>
      <c r="EV39" s="55">
        <f>'1.Смета.или.Акт'!F65</f>
        <v>102.8</v>
      </c>
      <c r="EW39">
        <f>'1.Смета.или.Акт'!E69</f>
        <v>9.27</v>
      </c>
      <c r="EX39">
        <v>0</v>
      </c>
      <c r="EY39">
        <v>1</v>
      </c>
      <c r="FQ39">
        <v>0</v>
      </c>
      <c r="FR39">
        <f t="shared" si="39"/>
        <v>0</v>
      </c>
      <c r="FS39">
        <v>0</v>
      </c>
      <c r="FV39" t="s">
        <v>25</v>
      </c>
      <c r="FW39" t="s">
        <v>26</v>
      </c>
      <c r="FX39">
        <v>80</v>
      </c>
      <c r="FY39">
        <v>60</v>
      </c>
      <c r="GA39" t="s">
        <v>6</v>
      </c>
      <c r="GD39">
        <v>0</v>
      </c>
      <c r="GF39">
        <v>-391258795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0"/>
        <v>0</v>
      </c>
      <c r="GM39">
        <f t="shared" si="41"/>
        <v>16731</v>
      </c>
      <c r="GN39">
        <f t="shared" si="42"/>
        <v>0</v>
      </c>
      <c r="GO39">
        <f t="shared" si="43"/>
        <v>16731</v>
      </c>
      <c r="GP39">
        <f t="shared" si="44"/>
        <v>0</v>
      </c>
      <c r="GR39">
        <v>0</v>
      </c>
      <c r="GS39">
        <v>3</v>
      </c>
      <c r="GT39">
        <v>0</v>
      </c>
      <c r="GU39" t="s">
        <v>6</v>
      </c>
      <c r="GV39">
        <f t="shared" si="45"/>
        <v>0</v>
      </c>
      <c r="GW39">
        <v>18.3</v>
      </c>
      <c r="GX39">
        <f t="shared" si="46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18</v>
      </c>
      <c r="D40" s="2"/>
      <c r="E40" s="2" t="s">
        <v>58</v>
      </c>
      <c r="F40" s="2" t="s">
        <v>28</v>
      </c>
      <c r="G40" s="2" t="s">
        <v>59</v>
      </c>
      <c r="H40" s="2" t="s">
        <v>60</v>
      </c>
      <c r="I40" s="2">
        <f>I38*J40</f>
        <v>305</v>
      </c>
      <c r="J40" s="2">
        <v>100</v>
      </c>
      <c r="K40" s="2"/>
      <c r="L40" s="2"/>
      <c r="M40" s="2"/>
      <c r="N40" s="2"/>
      <c r="O40" s="2">
        <f t="shared" si="14"/>
        <v>802</v>
      </c>
      <c r="P40" s="2">
        <f t="shared" si="15"/>
        <v>802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34649990</v>
      </c>
      <c r="AB40" s="2">
        <f t="shared" si="25"/>
        <v>2.63</v>
      </c>
      <c r="AC40" s="2">
        <f t="shared" ref="AC40:AC45" si="53">ROUND((ES40),2)</f>
        <v>2.63</v>
      </c>
      <c r="AD40" s="2">
        <f t="shared" ref="AD40:AD51" si="54">ROUND((((ET40)-(EU40))+AE40),2)</f>
        <v>0</v>
      </c>
      <c r="AE40" s="2">
        <f t="shared" ref="AE40:AE51" si="55">ROUND((EU40),2)</f>
        <v>0</v>
      </c>
      <c r="AF40" s="2">
        <f t="shared" ref="AF40:AF51" si="56">ROUND((EV40),2)</f>
        <v>0</v>
      </c>
      <c r="AG40" s="2">
        <f t="shared" si="26"/>
        <v>0</v>
      </c>
      <c r="AH40" s="2">
        <f t="shared" ref="AH40:AH51" si="57">(EW40)</f>
        <v>0</v>
      </c>
      <c r="AI40" s="2">
        <f t="shared" ref="AI40:AI51" si="58">(EX40)</f>
        <v>0</v>
      </c>
      <c r="AJ40" s="2">
        <f t="shared" si="27"/>
        <v>0</v>
      </c>
      <c r="AK40" s="2">
        <v>2.63</v>
      </c>
      <c r="AL40" s="2">
        <v>2.63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61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28"/>
        <v>802</v>
      </c>
      <c r="CQ40" s="2">
        <f t="shared" si="29"/>
        <v>2.63</v>
      </c>
      <c r="CR40" s="2">
        <f t="shared" si="30"/>
        <v>0</v>
      </c>
      <c r="CS40" s="2">
        <f t="shared" si="31"/>
        <v>0</v>
      </c>
      <c r="CT40" s="2">
        <f t="shared" si="32"/>
        <v>0</v>
      </c>
      <c r="CU40" s="2">
        <f t="shared" si="33"/>
        <v>0</v>
      </c>
      <c r="CV40" s="2">
        <f t="shared" si="34"/>
        <v>0</v>
      </c>
      <c r="CW40" s="2">
        <f t="shared" si="35"/>
        <v>0</v>
      </c>
      <c r="CX40" s="2">
        <f t="shared" si="36"/>
        <v>0</v>
      </c>
      <c r="CY40" s="2">
        <f t="shared" si="37"/>
        <v>0</v>
      </c>
      <c r="CZ40" s="2">
        <f t="shared" si="38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60</v>
      </c>
      <c r="DW40" s="2" t="s">
        <v>60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31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47</v>
      </c>
      <c r="EM40" s="2" t="s">
        <v>48</v>
      </c>
      <c r="EN40" s="2"/>
      <c r="EO40" s="2" t="s">
        <v>6</v>
      </c>
      <c r="EP40" s="2"/>
      <c r="EQ40" s="2">
        <v>2097152</v>
      </c>
      <c r="ER40" s="2">
        <v>23.09</v>
      </c>
      <c r="ES40" s="2">
        <v>2.63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39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62</v>
      </c>
      <c r="GB40" s="2"/>
      <c r="GC40" s="2"/>
      <c r="GD40" s="2">
        <v>0</v>
      </c>
      <c r="GE40" s="2"/>
      <c r="GF40" s="2">
        <v>-1948848067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0"/>
        <v>0</v>
      </c>
      <c r="GM40" s="2">
        <f t="shared" si="41"/>
        <v>802</v>
      </c>
      <c r="GN40" s="2">
        <f t="shared" si="42"/>
        <v>802</v>
      </c>
      <c r="GO40" s="2">
        <f t="shared" si="43"/>
        <v>0</v>
      </c>
      <c r="GP40" s="2">
        <f t="shared" si="44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5"/>
        <v>0</v>
      </c>
      <c r="GW40" s="2">
        <v>1</v>
      </c>
      <c r="GX40" s="2">
        <f t="shared" si="46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22</v>
      </c>
      <c r="E41" t="s">
        <v>58</v>
      </c>
      <c r="F41" t="str">
        <f>'1.Смета.или.Акт'!B70</f>
        <v>Накладная</v>
      </c>
      <c r="G41" t="str">
        <f>'1.Смета.или.Акт'!C70</f>
        <v>Кабель UTP 4 cat. 5е 4 пары</v>
      </c>
      <c r="H41" t="s">
        <v>60</v>
      </c>
      <c r="I41">
        <f>I39*J41</f>
        <v>305</v>
      </c>
      <c r="J41">
        <v>100</v>
      </c>
      <c r="O41">
        <f t="shared" si="14"/>
        <v>6016</v>
      </c>
      <c r="P41">
        <f t="shared" si="15"/>
        <v>6016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34649991</v>
      </c>
      <c r="AB41">
        <f t="shared" si="25"/>
        <v>2.63</v>
      </c>
      <c r="AC41">
        <f t="shared" si="53"/>
        <v>2.63</v>
      </c>
      <c r="AD41">
        <f t="shared" si="54"/>
        <v>0</v>
      </c>
      <c r="AE41">
        <f t="shared" si="55"/>
        <v>0</v>
      </c>
      <c r="AF41">
        <f t="shared" si="56"/>
        <v>0</v>
      </c>
      <c r="AG41">
        <f t="shared" si="26"/>
        <v>0</v>
      </c>
      <c r="AH41">
        <f t="shared" si="57"/>
        <v>0</v>
      </c>
      <c r="AI41">
        <f t="shared" si="58"/>
        <v>0</v>
      </c>
      <c r="AJ41">
        <f t="shared" si="27"/>
        <v>0</v>
      </c>
      <c r="AK41">
        <v>2.63</v>
      </c>
      <c r="AL41" s="55">
        <f>'1.Смета.или.Акт'!F70</f>
        <v>2.63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'1.Смета.или.Акт'!J70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61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28"/>
        <v>6016</v>
      </c>
      <c r="CQ41">
        <f t="shared" si="29"/>
        <v>19.724999999999998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33"/>
        <v>0</v>
      </c>
      <c r="CV41">
        <f t="shared" si="34"/>
        <v>0</v>
      </c>
      <c r="CW41">
        <f t="shared" si="35"/>
        <v>0</v>
      </c>
      <c r="CX41">
        <f t="shared" si="36"/>
        <v>0</v>
      </c>
      <c r="CY41">
        <f t="shared" si="37"/>
        <v>0</v>
      </c>
      <c r="CZ41">
        <f t="shared" si="38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60</v>
      </c>
      <c r="DW41" t="str">
        <f>'1.Смета.или.Акт'!D70</f>
        <v>м</v>
      </c>
      <c r="DX41">
        <v>1</v>
      </c>
      <c r="EE41">
        <v>32653291</v>
      </c>
      <c r="EF41">
        <v>20</v>
      </c>
      <c r="EG41" t="s">
        <v>31</v>
      </c>
      <c r="EH41">
        <v>0</v>
      </c>
      <c r="EI41" t="s">
        <v>6</v>
      </c>
      <c r="EJ41">
        <v>1</v>
      </c>
      <c r="EK41">
        <v>500001</v>
      </c>
      <c r="EL41" t="s">
        <v>47</v>
      </c>
      <c r="EM41" t="s">
        <v>48</v>
      </c>
      <c r="EO41" t="s">
        <v>6</v>
      </c>
      <c r="EQ41">
        <v>2097152</v>
      </c>
      <c r="ER41">
        <v>2.63</v>
      </c>
      <c r="ES41" s="55">
        <f>'1.Смета.или.Акт'!F70</f>
        <v>2.63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19.760000000000002</v>
      </c>
      <c r="FQ41">
        <v>0</v>
      </c>
      <c r="FR41">
        <f t="shared" si="39"/>
        <v>0</v>
      </c>
      <c r="FS41">
        <v>0</v>
      </c>
      <c r="FX41">
        <v>0</v>
      </c>
      <c r="FY41">
        <v>0</v>
      </c>
      <c r="GA41" t="s">
        <v>62</v>
      </c>
      <c r="GD41">
        <v>0</v>
      </c>
      <c r="GF41">
        <v>-1948848067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0"/>
        <v>0</v>
      </c>
      <c r="GM41">
        <f t="shared" si="41"/>
        <v>6016</v>
      </c>
      <c r="GN41">
        <f t="shared" si="42"/>
        <v>6016</v>
      </c>
      <c r="GO41">
        <f t="shared" si="43"/>
        <v>0</v>
      </c>
      <c r="GP41">
        <f t="shared" si="44"/>
        <v>0</v>
      </c>
      <c r="GR41">
        <v>1</v>
      </c>
      <c r="GS41">
        <v>1</v>
      </c>
      <c r="GT41">
        <v>0</v>
      </c>
      <c r="GU41" t="s">
        <v>6</v>
      </c>
      <c r="GV41">
        <f t="shared" si="45"/>
        <v>0</v>
      </c>
      <c r="GW41">
        <v>1</v>
      </c>
      <c r="GX41">
        <f t="shared" si="46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16</v>
      </c>
      <c r="D42" s="2"/>
      <c r="E42" s="2" t="s">
        <v>63</v>
      </c>
      <c r="F42" s="2" t="s">
        <v>64</v>
      </c>
      <c r="G42" s="2" t="s">
        <v>65</v>
      </c>
      <c r="H42" s="2" t="s">
        <v>66</v>
      </c>
      <c r="I42" s="2">
        <f>I38*J42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34649990</v>
      </c>
      <c r="AB42" s="2">
        <f t="shared" si="25"/>
        <v>30.74</v>
      </c>
      <c r="AC42" s="2">
        <f t="shared" si="53"/>
        <v>30.74</v>
      </c>
      <c r="AD42" s="2">
        <f t="shared" si="54"/>
        <v>0</v>
      </c>
      <c r="AE42" s="2">
        <f t="shared" si="55"/>
        <v>0</v>
      </c>
      <c r="AF42" s="2">
        <f t="shared" si="56"/>
        <v>0</v>
      </c>
      <c r="AG42" s="2">
        <f t="shared" si="26"/>
        <v>0</v>
      </c>
      <c r="AH42" s="2">
        <f t="shared" si="57"/>
        <v>0</v>
      </c>
      <c r="AI42" s="2">
        <f t="shared" si="58"/>
        <v>0</v>
      </c>
      <c r="AJ42" s="2">
        <f t="shared" si="27"/>
        <v>0</v>
      </c>
      <c r="AK42" s="2">
        <v>30.74</v>
      </c>
      <c r="AL42" s="2">
        <v>30.74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67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28"/>
        <v>0</v>
      </c>
      <c r="CQ42" s="2">
        <f t="shared" si="29"/>
        <v>30.74</v>
      </c>
      <c r="CR42" s="2">
        <f t="shared" si="30"/>
        <v>0</v>
      </c>
      <c r="CS42" s="2">
        <f t="shared" si="31"/>
        <v>0</v>
      </c>
      <c r="CT42" s="2">
        <f t="shared" si="32"/>
        <v>0</v>
      </c>
      <c r="CU42" s="2">
        <f t="shared" si="33"/>
        <v>0</v>
      </c>
      <c r="CV42" s="2">
        <f t="shared" si="34"/>
        <v>0</v>
      </c>
      <c r="CW42" s="2">
        <f t="shared" si="35"/>
        <v>0</v>
      </c>
      <c r="CX42" s="2">
        <f t="shared" si="36"/>
        <v>0</v>
      </c>
      <c r="CY42" s="2">
        <f t="shared" si="37"/>
        <v>0</v>
      </c>
      <c r="CZ42" s="2">
        <f t="shared" si="38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1010</v>
      </c>
      <c r="DV42" s="2" t="s">
        <v>66</v>
      </c>
      <c r="DW42" s="2" t="s">
        <v>66</v>
      </c>
      <c r="DX42" s="2">
        <v>100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31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47</v>
      </c>
      <c r="EM42" s="2" t="s">
        <v>48</v>
      </c>
      <c r="EN42" s="2"/>
      <c r="EO42" s="2" t="s">
        <v>6</v>
      </c>
      <c r="EP42" s="2"/>
      <c r="EQ42" s="2">
        <v>0</v>
      </c>
      <c r="ER42" s="2">
        <v>30.74</v>
      </c>
      <c r="ES42" s="2">
        <v>30.74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39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1924823676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0"/>
        <v>0</v>
      </c>
      <c r="GM42" s="2">
        <f t="shared" si="41"/>
        <v>0</v>
      </c>
      <c r="GN42" s="2">
        <f t="shared" si="42"/>
        <v>0</v>
      </c>
      <c r="GO42" s="2">
        <f t="shared" si="43"/>
        <v>0</v>
      </c>
      <c r="GP42" s="2">
        <f t="shared" si="44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45"/>
        <v>0</v>
      </c>
      <c r="GW42" s="2">
        <v>1</v>
      </c>
      <c r="GX42" s="2">
        <f t="shared" si="46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20</v>
      </c>
      <c r="E43" t="s">
        <v>63</v>
      </c>
      <c r="F43" t="s">
        <v>64</v>
      </c>
      <c r="G43" t="s">
        <v>65</v>
      </c>
      <c r="H43" t="s">
        <v>66</v>
      </c>
      <c r="I43">
        <f>I39*J43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34649991</v>
      </c>
      <c r="AB43">
        <f t="shared" si="25"/>
        <v>30.74</v>
      </c>
      <c r="AC43">
        <f t="shared" si="53"/>
        <v>30.74</v>
      </c>
      <c r="AD43">
        <f t="shared" si="54"/>
        <v>0</v>
      </c>
      <c r="AE43">
        <f t="shared" si="55"/>
        <v>0</v>
      </c>
      <c r="AF43">
        <f t="shared" si="56"/>
        <v>0</v>
      </c>
      <c r="AG43">
        <f t="shared" si="26"/>
        <v>0</v>
      </c>
      <c r="AH43">
        <f t="shared" si="57"/>
        <v>0</v>
      </c>
      <c r="AI43">
        <f t="shared" si="58"/>
        <v>0</v>
      </c>
      <c r="AJ43">
        <f t="shared" si="27"/>
        <v>0</v>
      </c>
      <c r="AK43">
        <v>30.74</v>
      </c>
      <c r="AL43">
        <v>30.74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67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28"/>
        <v>0</v>
      </c>
      <c r="CQ43">
        <f t="shared" si="29"/>
        <v>230.54999999999998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33"/>
        <v>0</v>
      </c>
      <c r="CV43">
        <f t="shared" si="34"/>
        <v>0</v>
      </c>
      <c r="CW43">
        <f t="shared" si="35"/>
        <v>0</v>
      </c>
      <c r="CX43">
        <f t="shared" si="36"/>
        <v>0</v>
      </c>
      <c r="CY43">
        <f t="shared" si="37"/>
        <v>0</v>
      </c>
      <c r="CZ43">
        <f t="shared" si="38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66</v>
      </c>
      <c r="DW43" t="s">
        <v>66</v>
      </c>
      <c r="DX43">
        <v>100</v>
      </c>
      <c r="EE43">
        <v>32653291</v>
      </c>
      <c r="EF43">
        <v>20</v>
      </c>
      <c r="EG43" t="s">
        <v>31</v>
      </c>
      <c r="EH43">
        <v>0</v>
      </c>
      <c r="EI43" t="s">
        <v>6</v>
      </c>
      <c r="EJ43">
        <v>1</v>
      </c>
      <c r="EK43">
        <v>500001</v>
      </c>
      <c r="EL43" t="s">
        <v>47</v>
      </c>
      <c r="EM43" t="s">
        <v>48</v>
      </c>
      <c r="EO43" t="s">
        <v>6</v>
      </c>
      <c r="EQ43">
        <v>0</v>
      </c>
      <c r="ER43">
        <v>30.74</v>
      </c>
      <c r="ES43">
        <v>30.74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39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1924823676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0"/>
        <v>0</v>
      </c>
      <c r="GM43">
        <f t="shared" si="41"/>
        <v>0</v>
      </c>
      <c r="GN43">
        <f t="shared" si="42"/>
        <v>0</v>
      </c>
      <c r="GO43">
        <f t="shared" si="43"/>
        <v>0</v>
      </c>
      <c r="GP43">
        <f t="shared" si="44"/>
        <v>0</v>
      </c>
      <c r="GR43">
        <v>0</v>
      </c>
      <c r="GS43">
        <v>3</v>
      </c>
      <c r="GT43">
        <v>0</v>
      </c>
      <c r="GU43" t="s">
        <v>6</v>
      </c>
      <c r="GV43">
        <f t="shared" si="45"/>
        <v>0</v>
      </c>
      <c r="GW43">
        <v>1</v>
      </c>
      <c r="GX43">
        <f t="shared" si="46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17</v>
      </c>
      <c r="D44" s="2"/>
      <c r="E44" s="2" t="s">
        <v>68</v>
      </c>
      <c r="F44" s="2" t="s">
        <v>69</v>
      </c>
      <c r="G44" s="2" t="s">
        <v>70</v>
      </c>
      <c r="H44" s="2" t="s">
        <v>71</v>
      </c>
      <c r="I44" s="2">
        <f>I38*J44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34649990</v>
      </c>
      <c r="AB44" s="2">
        <f t="shared" si="25"/>
        <v>1</v>
      </c>
      <c r="AC44" s="2">
        <f t="shared" si="53"/>
        <v>1</v>
      </c>
      <c r="AD44" s="2">
        <f t="shared" si="54"/>
        <v>0</v>
      </c>
      <c r="AE44" s="2">
        <f t="shared" si="55"/>
        <v>0</v>
      </c>
      <c r="AF44" s="2">
        <f t="shared" si="56"/>
        <v>0</v>
      </c>
      <c r="AG44" s="2">
        <f t="shared" si="26"/>
        <v>0</v>
      </c>
      <c r="AH44" s="2">
        <f t="shared" si="57"/>
        <v>0</v>
      </c>
      <c r="AI44" s="2">
        <f t="shared" si="58"/>
        <v>0</v>
      </c>
      <c r="AJ44" s="2">
        <f t="shared" si="27"/>
        <v>0</v>
      </c>
      <c r="AK44" s="2">
        <v>1</v>
      </c>
      <c r="AL44" s="2">
        <v>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28"/>
        <v>0</v>
      </c>
      <c r="CQ44" s="2">
        <f t="shared" si="29"/>
        <v>1</v>
      </c>
      <c r="CR44" s="2">
        <f t="shared" si="30"/>
        <v>0</v>
      </c>
      <c r="CS44" s="2">
        <f t="shared" si="31"/>
        <v>0</v>
      </c>
      <c r="CT44" s="2">
        <f t="shared" si="32"/>
        <v>0</v>
      </c>
      <c r="CU44" s="2">
        <f t="shared" si="33"/>
        <v>0</v>
      </c>
      <c r="CV44" s="2">
        <f t="shared" si="34"/>
        <v>0</v>
      </c>
      <c r="CW44" s="2">
        <f t="shared" si="35"/>
        <v>0</v>
      </c>
      <c r="CX44" s="2">
        <f t="shared" si="36"/>
        <v>0</v>
      </c>
      <c r="CY44" s="2">
        <f t="shared" si="37"/>
        <v>0</v>
      </c>
      <c r="CZ44" s="2">
        <f t="shared" si="38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71</v>
      </c>
      <c r="DW44" s="2" t="s">
        <v>71</v>
      </c>
      <c r="DX44" s="2">
        <v>1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31</v>
      </c>
      <c r="EH44" s="2">
        <v>0</v>
      </c>
      <c r="EI44" s="2" t="s">
        <v>6</v>
      </c>
      <c r="EJ44" s="2">
        <v>1</v>
      </c>
      <c r="EK44" s="2">
        <v>0</v>
      </c>
      <c r="EL44" s="2" t="s">
        <v>32</v>
      </c>
      <c r="EM44" s="2" t="s">
        <v>33</v>
      </c>
      <c r="EN44" s="2"/>
      <c r="EO44" s="2" t="s">
        <v>6</v>
      </c>
      <c r="EP44" s="2"/>
      <c r="EQ44" s="2">
        <v>0</v>
      </c>
      <c r="ER44" s="2">
        <v>1</v>
      </c>
      <c r="ES44" s="2">
        <v>1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39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-1731369543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0"/>
        <v>0</v>
      </c>
      <c r="GM44" s="2">
        <f t="shared" si="41"/>
        <v>0</v>
      </c>
      <c r="GN44" s="2">
        <f t="shared" si="42"/>
        <v>0</v>
      </c>
      <c r="GO44" s="2">
        <f t="shared" si="43"/>
        <v>0</v>
      </c>
      <c r="GP44" s="2">
        <f t="shared" si="44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5"/>
        <v>0</v>
      </c>
      <c r="GW44" s="2">
        <v>1</v>
      </c>
      <c r="GX44" s="2">
        <f t="shared" si="46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21</v>
      </c>
      <c r="E45" t="s">
        <v>68</v>
      </c>
      <c r="F45" t="s">
        <v>69</v>
      </c>
      <c r="G45" t="s">
        <v>70</v>
      </c>
      <c r="H45" t="s">
        <v>71</v>
      </c>
      <c r="I45">
        <f>I39*J45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34649991</v>
      </c>
      <c r="AB45">
        <f t="shared" si="25"/>
        <v>1</v>
      </c>
      <c r="AC45">
        <f t="shared" si="53"/>
        <v>1</v>
      </c>
      <c r="AD45">
        <f t="shared" si="54"/>
        <v>0</v>
      </c>
      <c r="AE45">
        <f t="shared" si="55"/>
        <v>0</v>
      </c>
      <c r="AF45">
        <f t="shared" si="56"/>
        <v>0</v>
      </c>
      <c r="AG45">
        <f t="shared" si="26"/>
        <v>0</v>
      </c>
      <c r="AH45">
        <f t="shared" si="57"/>
        <v>0</v>
      </c>
      <c r="AI45">
        <f t="shared" si="58"/>
        <v>0</v>
      </c>
      <c r="AJ45">
        <f t="shared" si="27"/>
        <v>0</v>
      </c>
      <c r="AK45">
        <v>1</v>
      </c>
      <c r="AL45">
        <v>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28"/>
        <v>0</v>
      </c>
      <c r="CQ45">
        <f t="shared" si="29"/>
        <v>7.5</v>
      </c>
      <c r="CR45">
        <f t="shared" si="30"/>
        <v>0</v>
      </c>
      <c r="CS45">
        <f t="shared" si="31"/>
        <v>0</v>
      </c>
      <c r="CT45">
        <f t="shared" si="32"/>
        <v>0</v>
      </c>
      <c r="CU45">
        <f t="shared" si="33"/>
        <v>0</v>
      </c>
      <c r="CV45">
        <f t="shared" si="34"/>
        <v>0</v>
      </c>
      <c r="CW45">
        <f t="shared" si="35"/>
        <v>0</v>
      </c>
      <c r="CX45">
        <f t="shared" si="36"/>
        <v>0</v>
      </c>
      <c r="CY45">
        <f t="shared" si="37"/>
        <v>0</v>
      </c>
      <c r="CZ45">
        <f t="shared" si="38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71</v>
      </c>
      <c r="DW45" t="s">
        <v>71</v>
      </c>
      <c r="DX45">
        <v>1</v>
      </c>
      <c r="EE45">
        <v>32653299</v>
      </c>
      <c r="EF45">
        <v>20</v>
      </c>
      <c r="EG45" t="s">
        <v>31</v>
      </c>
      <c r="EH45">
        <v>0</v>
      </c>
      <c r="EI45" t="s">
        <v>6</v>
      </c>
      <c r="EJ45">
        <v>1</v>
      </c>
      <c r="EK45">
        <v>0</v>
      </c>
      <c r="EL45" t="s">
        <v>32</v>
      </c>
      <c r="EM45" t="s">
        <v>33</v>
      </c>
      <c r="EO45" t="s">
        <v>6</v>
      </c>
      <c r="EQ45">
        <v>0</v>
      </c>
      <c r="ER45">
        <v>1</v>
      </c>
      <c r="ES45">
        <v>1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39"/>
        <v>0</v>
      </c>
      <c r="FS45">
        <v>0</v>
      </c>
      <c r="FV45" t="s">
        <v>25</v>
      </c>
      <c r="FW45" t="s">
        <v>26</v>
      </c>
      <c r="FX45">
        <v>106</v>
      </c>
      <c r="FY45">
        <v>65</v>
      </c>
      <c r="GA45" t="s">
        <v>6</v>
      </c>
      <c r="GD45">
        <v>0</v>
      </c>
      <c r="GF45">
        <v>-1731369543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0"/>
        <v>0</v>
      </c>
      <c r="GM45">
        <f t="shared" si="41"/>
        <v>0</v>
      </c>
      <c r="GN45">
        <f t="shared" si="42"/>
        <v>0</v>
      </c>
      <c r="GO45">
        <f t="shared" si="43"/>
        <v>0</v>
      </c>
      <c r="GP45">
        <f t="shared" si="44"/>
        <v>0</v>
      </c>
      <c r="GR45">
        <v>0</v>
      </c>
      <c r="GS45">
        <v>3</v>
      </c>
      <c r="GT45">
        <v>0</v>
      </c>
      <c r="GU45" t="s">
        <v>6</v>
      </c>
      <c r="GV45">
        <f t="shared" si="45"/>
        <v>0</v>
      </c>
      <c r="GW45">
        <v>1</v>
      </c>
      <c r="GX45">
        <f t="shared" si="46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ROW(SmtRes!A24)</f>
        <v>24</v>
      </c>
      <c r="D46" s="2">
        <f>ROW(EtalonRes!A16)</f>
        <v>16</v>
      </c>
      <c r="E46" s="2" t="s">
        <v>72</v>
      </c>
      <c r="F46" s="2" t="s">
        <v>73</v>
      </c>
      <c r="G46" s="2" t="s">
        <v>74</v>
      </c>
      <c r="H46" s="2" t="s">
        <v>75</v>
      </c>
      <c r="I46" s="2">
        <f>'1.Смета.или.Акт'!E73</f>
        <v>3.7000000000000002E-3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3.5520000000000003E-2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34649990</v>
      </c>
      <c r="AB46" s="2">
        <f t="shared" si="25"/>
        <v>92.35</v>
      </c>
      <c r="AC46" s="2">
        <f>ROUND((ES46+(SUM(SmtRes!BC23:'SmtRes'!BC24)+SUM(EtalonRes!AL15:'EtalonRes'!AL16))),2)</f>
        <v>0</v>
      </c>
      <c r="AD46" s="2">
        <f t="shared" si="54"/>
        <v>0</v>
      </c>
      <c r="AE46" s="2">
        <f t="shared" si="55"/>
        <v>0</v>
      </c>
      <c r="AF46" s="2">
        <f t="shared" si="56"/>
        <v>92.35</v>
      </c>
      <c r="AG46" s="2">
        <f t="shared" si="26"/>
        <v>0</v>
      </c>
      <c r="AH46" s="2">
        <f t="shared" si="57"/>
        <v>9.6</v>
      </c>
      <c r="AI46" s="2">
        <f t="shared" si="58"/>
        <v>0</v>
      </c>
      <c r="AJ46" s="2">
        <f t="shared" si="27"/>
        <v>0</v>
      </c>
      <c r="AK46" s="2">
        <v>94.2</v>
      </c>
      <c r="AL46" s="2">
        <v>1.85</v>
      </c>
      <c r="AM46" s="2">
        <v>0</v>
      </c>
      <c r="AN46" s="2">
        <v>0</v>
      </c>
      <c r="AO46" s="2">
        <v>92.35</v>
      </c>
      <c r="AP46" s="2">
        <v>0</v>
      </c>
      <c r="AQ46" s="2">
        <v>9.6</v>
      </c>
      <c r="AR46" s="2">
        <v>0</v>
      </c>
      <c r="AS46" s="2">
        <v>0</v>
      </c>
      <c r="AT46" s="2">
        <v>95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0</v>
      </c>
      <c r="BI46" s="2">
        <v>2</v>
      </c>
      <c r="BJ46" s="2" t="s">
        <v>76</v>
      </c>
      <c r="BK46" s="2"/>
      <c r="BL46" s="2"/>
      <c r="BM46" s="2">
        <v>108001</v>
      </c>
      <c r="BN46" s="2">
        <v>0</v>
      </c>
      <c r="BO46" s="2" t="s">
        <v>6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95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28"/>
        <v>0</v>
      </c>
      <c r="CQ46" s="2">
        <f t="shared" si="29"/>
        <v>0</v>
      </c>
      <c r="CR46" s="2">
        <f t="shared" si="30"/>
        <v>0</v>
      </c>
      <c r="CS46" s="2">
        <f t="shared" si="31"/>
        <v>0</v>
      </c>
      <c r="CT46" s="2">
        <f t="shared" si="32"/>
        <v>92.35</v>
      </c>
      <c r="CU46" s="2">
        <f t="shared" si="33"/>
        <v>0</v>
      </c>
      <c r="CV46" s="2">
        <f t="shared" si="34"/>
        <v>9.6</v>
      </c>
      <c r="CW46" s="2">
        <f t="shared" si="35"/>
        <v>0</v>
      </c>
      <c r="CX46" s="2">
        <f t="shared" si="36"/>
        <v>0</v>
      </c>
      <c r="CY46" s="2">
        <f t="shared" si="37"/>
        <v>0</v>
      </c>
      <c r="CZ46" s="2">
        <f t="shared" si="38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75</v>
      </c>
      <c r="DW46" s="2" t="s">
        <v>75</v>
      </c>
      <c r="DX46" s="2">
        <v>1</v>
      </c>
      <c r="DY46" s="2"/>
      <c r="DZ46" s="2"/>
      <c r="EA46" s="2"/>
      <c r="EB46" s="2"/>
      <c r="EC46" s="2"/>
      <c r="ED46" s="2"/>
      <c r="EE46" s="2">
        <v>32653241</v>
      </c>
      <c r="EF46" s="2">
        <v>2</v>
      </c>
      <c r="EG46" s="2" t="s">
        <v>21</v>
      </c>
      <c r="EH46" s="2">
        <v>0</v>
      </c>
      <c r="EI46" s="2" t="s">
        <v>6</v>
      </c>
      <c r="EJ46" s="2">
        <v>2</v>
      </c>
      <c r="EK46" s="2">
        <v>108001</v>
      </c>
      <c r="EL46" s="2" t="s">
        <v>77</v>
      </c>
      <c r="EM46" s="2" t="s">
        <v>78</v>
      </c>
      <c r="EN46" s="2"/>
      <c r="EO46" s="2" t="s">
        <v>6</v>
      </c>
      <c r="EP46" s="2"/>
      <c r="EQ46" s="2">
        <v>0</v>
      </c>
      <c r="ER46" s="2">
        <v>94.2</v>
      </c>
      <c r="ES46" s="2">
        <v>1.85</v>
      </c>
      <c r="ET46" s="2">
        <v>0</v>
      </c>
      <c r="EU46" s="2">
        <v>0</v>
      </c>
      <c r="EV46" s="2">
        <v>92.35</v>
      </c>
      <c r="EW46" s="2">
        <v>9.6</v>
      </c>
      <c r="EX46" s="2">
        <v>0</v>
      </c>
      <c r="EY46" s="2">
        <v>1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39"/>
        <v>0</v>
      </c>
      <c r="FS46" s="2">
        <v>0</v>
      </c>
      <c r="FT46" s="2"/>
      <c r="FU46" s="2"/>
      <c r="FV46" s="2"/>
      <c r="FW46" s="2"/>
      <c r="FX46" s="2">
        <v>95</v>
      </c>
      <c r="FY46" s="2">
        <v>65</v>
      </c>
      <c r="FZ46" s="2"/>
      <c r="GA46" s="2" t="s">
        <v>6</v>
      </c>
      <c r="GB46" s="2"/>
      <c r="GC46" s="2"/>
      <c r="GD46" s="2">
        <v>0</v>
      </c>
      <c r="GE46" s="2"/>
      <c r="GF46" s="2">
        <v>-1610667318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0"/>
        <v>0</v>
      </c>
      <c r="GM46" s="2">
        <f t="shared" si="41"/>
        <v>0</v>
      </c>
      <c r="GN46" s="2">
        <f t="shared" si="42"/>
        <v>0</v>
      </c>
      <c r="GO46" s="2">
        <f t="shared" si="43"/>
        <v>0</v>
      </c>
      <c r="GP46" s="2">
        <f t="shared" si="44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45"/>
        <v>0</v>
      </c>
      <c r="GW46" s="2">
        <v>1</v>
      </c>
      <c r="GX46" s="2">
        <f t="shared" si="46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ROW(SmtRes!A26)</f>
        <v>26</v>
      </c>
      <c r="D47">
        <f>ROW(EtalonRes!A18)</f>
        <v>18</v>
      </c>
      <c r="E47" t="s">
        <v>72</v>
      </c>
      <c r="F47" t="s">
        <v>73</v>
      </c>
      <c r="G47" t="s">
        <v>74</v>
      </c>
      <c r="H47" t="s">
        <v>75</v>
      </c>
      <c r="I47">
        <f>'1.Смета.или.Акт'!E73</f>
        <v>3.7000000000000002E-3</v>
      </c>
      <c r="J47">
        <v>0</v>
      </c>
      <c r="O47">
        <f t="shared" si="14"/>
        <v>6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6</v>
      </c>
      <c r="T47">
        <f t="shared" si="19"/>
        <v>0</v>
      </c>
      <c r="U47">
        <f t="shared" si="20"/>
        <v>3.5520000000000003E-2</v>
      </c>
      <c r="V47">
        <f t="shared" si="21"/>
        <v>0</v>
      </c>
      <c r="W47">
        <f t="shared" si="22"/>
        <v>0</v>
      </c>
      <c r="X47">
        <f t="shared" si="23"/>
        <v>5</v>
      </c>
      <c r="Y47">
        <f t="shared" si="24"/>
        <v>3</v>
      </c>
      <c r="AA47">
        <v>34649991</v>
      </c>
      <c r="AB47">
        <f t="shared" si="25"/>
        <v>92.35</v>
      </c>
      <c r="AC47">
        <f>ROUND((ES47+(SUM(SmtRes!BC25:'SmtRes'!BC26)+SUM(EtalonRes!AL17:'EtalonRes'!AL18))),2)</f>
        <v>0</v>
      </c>
      <c r="AD47">
        <f t="shared" si="54"/>
        <v>0</v>
      </c>
      <c r="AE47">
        <f t="shared" si="55"/>
        <v>0</v>
      </c>
      <c r="AF47">
        <f t="shared" si="56"/>
        <v>92.35</v>
      </c>
      <c r="AG47">
        <f t="shared" si="26"/>
        <v>0</v>
      </c>
      <c r="AH47">
        <f t="shared" si="57"/>
        <v>9.6</v>
      </c>
      <c r="AI47">
        <f t="shared" si="58"/>
        <v>0</v>
      </c>
      <c r="AJ47">
        <f t="shared" si="27"/>
        <v>0</v>
      </c>
      <c r="AK47">
        <f>AL47+AM47+AO47</f>
        <v>94.199999999999989</v>
      </c>
      <c r="AL47">
        <v>1.85</v>
      </c>
      <c r="AM47">
        <v>0</v>
      </c>
      <c r="AN47">
        <v>0</v>
      </c>
      <c r="AO47" s="55">
        <f>'1.Смета.или.Акт'!F74</f>
        <v>92.35</v>
      </c>
      <c r="AP47">
        <v>0</v>
      </c>
      <c r="AQ47">
        <f>'1.Смета.или.Акт'!E77</f>
        <v>9.6</v>
      </c>
      <c r="AR47">
        <v>0</v>
      </c>
      <c r="AS47">
        <v>0</v>
      </c>
      <c r="AT47">
        <v>81</v>
      </c>
      <c r="AU47">
        <v>52</v>
      </c>
      <c r="AV47">
        <v>1</v>
      </c>
      <c r="AW47">
        <v>1</v>
      </c>
      <c r="AZ47">
        <v>1</v>
      </c>
      <c r="BA47">
        <f>'1.Смета.или.Акт'!J74</f>
        <v>18.3</v>
      </c>
      <c r="BB47">
        <v>12.5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0</v>
      </c>
      <c r="BI47">
        <v>2</v>
      </c>
      <c r="BJ47" t="s">
        <v>76</v>
      </c>
      <c r="BM47">
        <v>108001</v>
      </c>
      <c r="BN47">
        <v>0</v>
      </c>
      <c r="BO47" t="s">
        <v>6</v>
      </c>
      <c r="BP47">
        <v>0</v>
      </c>
      <c r="BQ47">
        <v>2</v>
      </c>
      <c r="BR47">
        <v>0</v>
      </c>
      <c r="BS47"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95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28"/>
        <v>6</v>
      </c>
      <c r="CQ47">
        <f t="shared" si="29"/>
        <v>0</v>
      </c>
      <c r="CR47">
        <f t="shared" si="30"/>
        <v>0</v>
      </c>
      <c r="CS47">
        <f t="shared" si="31"/>
        <v>0</v>
      </c>
      <c r="CT47">
        <f t="shared" si="32"/>
        <v>1690.0049999999999</v>
      </c>
      <c r="CU47">
        <f t="shared" si="33"/>
        <v>0</v>
      </c>
      <c r="CV47">
        <f t="shared" si="34"/>
        <v>9.6</v>
      </c>
      <c r="CW47">
        <f t="shared" si="35"/>
        <v>0</v>
      </c>
      <c r="CX47">
        <f t="shared" si="36"/>
        <v>0</v>
      </c>
      <c r="CY47">
        <f t="shared" si="37"/>
        <v>4.8600000000000003</v>
      </c>
      <c r="CZ47">
        <f t="shared" si="38"/>
        <v>3.12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75</v>
      </c>
      <c r="DW47" t="str">
        <f>'1.Смета.или.Акт'!D73</f>
        <v>100 ШТ</v>
      </c>
      <c r="DX47">
        <v>1</v>
      </c>
      <c r="EE47">
        <v>32653241</v>
      </c>
      <c r="EF47">
        <v>2</v>
      </c>
      <c r="EG47" t="s">
        <v>21</v>
      </c>
      <c r="EH47">
        <v>0</v>
      </c>
      <c r="EI47" t="s">
        <v>6</v>
      </c>
      <c r="EJ47">
        <v>2</v>
      </c>
      <c r="EK47">
        <v>108001</v>
      </c>
      <c r="EL47" t="s">
        <v>77</v>
      </c>
      <c r="EM47" t="s">
        <v>78</v>
      </c>
      <c r="EO47" t="s">
        <v>6</v>
      </c>
      <c r="EQ47">
        <v>0</v>
      </c>
      <c r="ER47">
        <f>ES47+ET47+EV47</f>
        <v>94.199999999999989</v>
      </c>
      <c r="ES47">
        <v>1.85</v>
      </c>
      <c r="ET47">
        <v>0</v>
      </c>
      <c r="EU47">
        <v>0</v>
      </c>
      <c r="EV47" s="55">
        <f>'1.Смета.или.Акт'!F74</f>
        <v>92.35</v>
      </c>
      <c r="EW47">
        <f>'1.Смета.или.Акт'!E77</f>
        <v>9.6</v>
      </c>
      <c r="EX47">
        <v>0</v>
      </c>
      <c r="EY47">
        <v>1</v>
      </c>
      <c r="FQ47">
        <v>0</v>
      </c>
      <c r="FR47">
        <f t="shared" si="39"/>
        <v>0</v>
      </c>
      <c r="FS47">
        <v>0</v>
      </c>
      <c r="FV47" t="s">
        <v>25</v>
      </c>
      <c r="FW47" t="s">
        <v>26</v>
      </c>
      <c r="FX47">
        <v>95</v>
      </c>
      <c r="FY47">
        <v>65</v>
      </c>
      <c r="GA47" t="s">
        <v>6</v>
      </c>
      <c r="GD47">
        <v>0</v>
      </c>
      <c r="GF47">
        <v>-1610667318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0"/>
        <v>0</v>
      </c>
      <c r="GM47">
        <f t="shared" si="41"/>
        <v>14</v>
      </c>
      <c r="GN47">
        <f t="shared" si="42"/>
        <v>0</v>
      </c>
      <c r="GO47">
        <f t="shared" si="43"/>
        <v>14</v>
      </c>
      <c r="GP47">
        <f t="shared" si="44"/>
        <v>0</v>
      </c>
      <c r="GR47">
        <v>0</v>
      </c>
      <c r="GS47">
        <v>3</v>
      </c>
      <c r="GT47">
        <v>0</v>
      </c>
      <c r="GU47" t="s">
        <v>6</v>
      </c>
      <c r="GV47">
        <f t="shared" si="45"/>
        <v>0</v>
      </c>
      <c r="GW47">
        <v>18.3</v>
      </c>
      <c r="GX47">
        <f t="shared" si="46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24</v>
      </c>
      <c r="D48" s="2"/>
      <c r="E48" s="2" t="s">
        <v>79</v>
      </c>
      <c r="F48" s="2" t="s">
        <v>69</v>
      </c>
      <c r="G48" s="2" t="s">
        <v>70</v>
      </c>
      <c r="H48" s="2" t="s">
        <v>71</v>
      </c>
      <c r="I48" s="2">
        <f>I46*J48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34649990</v>
      </c>
      <c r="AB48" s="2">
        <f t="shared" si="25"/>
        <v>1</v>
      </c>
      <c r="AC48" s="2">
        <f>ROUND((ES48),2)</f>
        <v>1</v>
      </c>
      <c r="AD48" s="2">
        <f t="shared" si="54"/>
        <v>0</v>
      </c>
      <c r="AE48" s="2">
        <f t="shared" si="55"/>
        <v>0</v>
      </c>
      <c r="AF48" s="2">
        <f t="shared" si="56"/>
        <v>0</v>
      </c>
      <c r="AG48" s="2">
        <f t="shared" si="26"/>
        <v>0</v>
      </c>
      <c r="AH48" s="2">
        <f t="shared" si="57"/>
        <v>0</v>
      </c>
      <c r="AI48" s="2">
        <f t="shared" si="58"/>
        <v>0</v>
      </c>
      <c r="AJ48" s="2">
        <f t="shared" si="27"/>
        <v>0</v>
      </c>
      <c r="AK48" s="2">
        <v>1</v>
      </c>
      <c r="AL48" s="2">
        <v>1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6</v>
      </c>
      <c r="BK48" s="2"/>
      <c r="BL48" s="2"/>
      <c r="BM48" s="2">
        <v>0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28"/>
        <v>0</v>
      </c>
      <c r="CQ48" s="2">
        <f t="shared" si="29"/>
        <v>1</v>
      </c>
      <c r="CR48" s="2">
        <f t="shared" si="30"/>
        <v>0</v>
      </c>
      <c r="CS48" s="2">
        <f t="shared" si="31"/>
        <v>0</v>
      </c>
      <c r="CT48" s="2">
        <f t="shared" si="32"/>
        <v>0</v>
      </c>
      <c r="CU48" s="2">
        <f t="shared" si="33"/>
        <v>0</v>
      </c>
      <c r="CV48" s="2">
        <f t="shared" si="34"/>
        <v>0</v>
      </c>
      <c r="CW48" s="2">
        <f t="shared" si="35"/>
        <v>0</v>
      </c>
      <c r="CX48" s="2">
        <f t="shared" si="36"/>
        <v>0</v>
      </c>
      <c r="CY48" s="2">
        <f t="shared" si="37"/>
        <v>0</v>
      </c>
      <c r="CZ48" s="2">
        <f t="shared" si="38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71</v>
      </c>
      <c r="DW48" s="2" t="s">
        <v>71</v>
      </c>
      <c r="DX48" s="2">
        <v>1</v>
      </c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31</v>
      </c>
      <c r="EH48" s="2">
        <v>0</v>
      </c>
      <c r="EI48" s="2" t="s">
        <v>6</v>
      </c>
      <c r="EJ48" s="2">
        <v>1</v>
      </c>
      <c r="EK48" s="2">
        <v>0</v>
      </c>
      <c r="EL48" s="2" t="s">
        <v>32</v>
      </c>
      <c r="EM48" s="2" t="s">
        <v>33</v>
      </c>
      <c r="EN48" s="2"/>
      <c r="EO48" s="2" t="s">
        <v>6</v>
      </c>
      <c r="EP48" s="2"/>
      <c r="EQ48" s="2">
        <v>0</v>
      </c>
      <c r="ER48" s="2">
        <v>1</v>
      </c>
      <c r="ES48" s="2">
        <v>1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39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6</v>
      </c>
      <c r="GB48" s="2"/>
      <c r="GC48" s="2"/>
      <c r="GD48" s="2">
        <v>0</v>
      </c>
      <c r="GE48" s="2"/>
      <c r="GF48" s="2">
        <v>-1731369543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0"/>
        <v>0</v>
      </c>
      <c r="GM48" s="2">
        <f t="shared" si="41"/>
        <v>0</v>
      </c>
      <c r="GN48" s="2">
        <f t="shared" si="42"/>
        <v>0</v>
      </c>
      <c r="GO48" s="2">
        <f t="shared" si="43"/>
        <v>0</v>
      </c>
      <c r="GP48" s="2">
        <f t="shared" si="44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5"/>
        <v>0</v>
      </c>
      <c r="GW48" s="2">
        <v>1</v>
      </c>
      <c r="GX48" s="2">
        <f t="shared" si="46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26</v>
      </c>
      <c r="E49" t="s">
        <v>79</v>
      </c>
      <c r="F49" t="s">
        <v>69</v>
      </c>
      <c r="G49" t="s">
        <v>70</v>
      </c>
      <c r="H49" t="s">
        <v>71</v>
      </c>
      <c r="I49">
        <f>I47*J49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34649991</v>
      </c>
      <c r="AB49">
        <f t="shared" si="25"/>
        <v>1</v>
      </c>
      <c r="AC49">
        <f>ROUND((ES49),2)</f>
        <v>1</v>
      </c>
      <c r="AD49">
        <f t="shared" si="54"/>
        <v>0</v>
      </c>
      <c r="AE49">
        <f t="shared" si="55"/>
        <v>0</v>
      </c>
      <c r="AF49">
        <f t="shared" si="56"/>
        <v>0</v>
      </c>
      <c r="AG49">
        <f t="shared" si="26"/>
        <v>0</v>
      </c>
      <c r="AH49">
        <f t="shared" si="57"/>
        <v>0</v>
      </c>
      <c r="AI49">
        <f t="shared" si="58"/>
        <v>0</v>
      </c>
      <c r="AJ49">
        <f t="shared" si="27"/>
        <v>0</v>
      </c>
      <c r="AK49">
        <v>1</v>
      </c>
      <c r="AL49">
        <v>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6</v>
      </c>
      <c r="BM49">
        <v>0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28"/>
        <v>0</v>
      </c>
      <c r="CQ49">
        <f t="shared" si="29"/>
        <v>7.5</v>
      </c>
      <c r="CR49">
        <f t="shared" si="30"/>
        <v>0</v>
      </c>
      <c r="CS49">
        <f t="shared" si="31"/>
        <v>0</v>
      </c>
      <c r="CT49">
        <f t="shared" si="32"/>
        <v>0</v>
      </c>
      <c r="CU49">
        <f t="shared" si="33"/>
        <v>0</v>
      </c>
      <c r="CV49">
        <f t="shared" si="34"/>
        <v>0</v>
      </c>
      <c r="CW49">
        <f t="shared" si="35"/>
        <v>0</v>
      </c>
      <c r="CX49">
        <f t="shared" si="36"/>
        <v>0</v>
      </c>
      <c r="CY49">
        <f t="shared" si="37"/>
        <v>0</v>
      </c>
      <c r="CZ49">
        <f t="shared" si="38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71</v>
      </c>
      <c r="DW49" t="s">
        <v>71</v>
      </c>
      <c r="DX49">
        <v>1</v>
      </c>
      <c r="EE49">
        <v>32653299</v>
      </c>
      <c r="EF49">
        <v>20</v>
      </c>
      <c r="EG49" t="s">
        <v>31</v>
      </c>
      <c r="EH49">
        <v>0</v>
      </c>
      <c r="EI49" t="s">
        <v>6</v>
      </c>
      <c r="EJ49">
        <v>1</v>
      </c>
      <c r="EK49">
        <v>0</v>
      </c>
      <c r="EL49" t="s">
        <v>32</v>
      </c>
      <c r="EM49" t="s">
        <v>33</v>
      </c>
      <c r="EO49" t="s">
        <v>6</v>
      </c>
      <c r="EQ49">
        <v>0</v>
      </c>
      <c r="ER49">
        <v>1</v>
      </c>
      <c r="ES49">
        <v>1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39"/>
        <v>0</v>
      </c>
      <c r="FS49">
        <v>0</v>
      </c>
      <c r="FV49" t="s">
        <v>25</v>
      </c>
      <c r="FW49" t="s">
        <v>26</v>
      </c>
      <c r="FX49">
        <v>106</v>
      </c>
      <c r="FY49">
        <v>65</v>
      </c>
      <c r="GA49" t="s">
        <v>6</v>
      </c>
      <c r="GD49">
        <v>0</v>
      </c>
      <c r="GF49">
        <v>-1731369543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0"/>
        <v>0</v>
      </c>
      <c r="GM49">
        <f t="shared" si="41"/>
        <v>0</v>
      </c>
      <c r="GN49">
        <f t="shared" si="42"/>
        <v>0</v>
      </c>
      <c r="GO49">
        <f t="shared" si="43"/>
        <v>0</v>
      </c>
      <c r="GP49">
        <f t="shared" si="44"/>
        <v>0</v>
      </c>
      <c r="GR49">
        <v>0</v>
      </c>
      <c r="GS49">
        <v>3</v>
      </c>
      <c r="GT49">
        <v>0</v>
      </c>
      <c r="GU49" t="s">
        <v>6</v>
      </c>
      <c r="GV49">
        <f t="shared" si="45"/>
        <v>0</v>
      </c>
      <c r="GW49">
        <v>1</v>
      </c>
      <c r="GX49">
        <f t="shared" si="46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ROW(SmtRes!A31)</f>
        <v>31</v>
      </c>
      <c r="D50" s="2">
        <f>ROW(EtalonRes!A23)</f>
        <v>23</v>
      </c>
      <c r="E50" s="2" t="s">
        <v>80</v>
      </c>
      <c r="F50" s="2" t="s">
        <v>81</v>
      </c>
      <c r="G50" s="2" t="s">
        <v>82</v>
      </c>
      <c r="H50" s="2" t="s">
        <v>83</v>
      </c>
      <c r="I50" s="2">
        <f>'1.Смета.или.Акт'!E79</f>
        <v>0.501</v>
      </c>
      <c r="J50" s="2">
        <v>0</v>
      </c>
      <c r="K50" s="2"/>
      <c r="L50" s="2"/>
      <c r="M50" s="2"/>
      <c r="N50" s="2"/>
      <c r="O50" s="2">
        <f t="shared" si="14"/>
        <v>462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462</v>
      </c>
      <c r="T50" s="2">
        <f t="shared" si="19"/>
        <v>0</v>
      </c>
      <c r="U50" s="2">
        <f t="shared" si="20"/>
        <v>32.564999999999998</v>
      </c>
      <c r="V50" s="2">
        <f t="shared" si="21"/>
        <v>0</v>
      </c>
      <c r="W50" s="2">
        <f t="shared" si="22"/>
        <v>0</v>
      </c>
      <c r="X50" s="2">
        <f t="shared" si="23"/>
        <v>300</v>
      </c>
      <c r="Y50" s="2">
        <f t="shared" si="24"/>
        <v>185</v>
      </c>
      <c r="Z50" s="2"/>
      <c r="AA50" s="2">
        <v>34649990</v>
      </c>
      <c r="AB50" s="2">
        <f t="shared" si="25"/>
        <v>921.7</v>
      </c>
      <c r="AC50" s="2">
        <f>ROUND((ES50),2)</f>
        <v>0</v>
      </c>
      <c r="AD50" s="2">
        <f t="shared" si="54"/>
        <v>0</v>
      </c>
      <c r="AE50" s="2">
        <f t="shared" si="55"/>
        <v>0</v>
      </c>
      <c r="AF50" s="2">
        <f t="shared" si="56"/>
        <v>921.7</v>
      </c>
      <c r="AG50" s="2">
        <f t="shared" si="26"/>
        <v>0</v>
      </c>
      <c r="AH50" s="2">
        <f t="shared" si="57"/>
        <v>65</v>
      </c>
      <c r="AI50" s="2">
        <f t="shared" si="58"/>
        <v>0</v>
      </c>
      <c r="AJ50" s="2">
        <f t="shared" si="27"/>
        <v>0</v>
      </c>
      <c r="AK50" s="2">
        <v>921.7</v>
      </c>
      <c r="AL50" s="2">
        <v>0</v>
      </c>
      <c r="AM50" s="2">
        <v>0</v>
      </c>
      <c r="AN50" s="2">
        <v>0</v>
      </c>
      <c r="AO50" s="2">
        <v>921.7</v>
      </c>
      <c r="AP50" s="2">
        <v>0</v>
      </c>
      <c r="AQ50" s="2">
        <v>65</v>
      </c>
      <c r="AR50" s="2">
        <v>0</v>
      </c>
      <c r="AS50" s="2">
        <v>0</v>
      </c>
      <c r="AT50" s="2">
        <v>65</v>
      </c>
      <c r="AU50" s="2">
        <v>40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0</v>
      </c>
      <c r="BI50" s="2">
        <v>4</v>
      </c>
      <c r="BJ50" s="2" t="s">
        <v>84</v>
      </c>
      <c r="BK50" s="2"/>
      <c r="BL50" s="2"/>
      <c r="BM50" s="2">
        <v>200001</v>
      </c>
      <c r="BN50" s="2">
        <v>0</v>
      </c>
      <c r="BO50" s="2" t="s">
        <v>6</v>
      </c>
      <c r="BP50" s="2">
        <v>0</v>
      </c>
      <c r="BQ50" s="2">
        <v>5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65</v>
      </c>
      <c r="CA50" s="2">
        <v>40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28"/>
        <v>462</v>
      </c>
      <c r="CQ50" s="2">
        <f t="shared" si="29"/>
        <v>0</v>
      </c>
      <c r="CR50" s="2">
        <f t="shared" si="30"/>
        <v>0</v>
      </c>
      <c r="CS50" s="2">
        <f t="shared" si="31"/>
        <v>0</v>
      </c>
      <c r="CT50" s="2">
        <f t="shared" si="32"/>
        <v>921.7</v>
      </c>
      <c r="CU50" s="2">
        <f t="shared" si="33"/>
        <v>0</v>
      </c>
      <c r="CV50" s="2">
        <f t="shared" si="34"/>
        <v>65</v>
      </c>
      <c r="CW50" s="2">
        <f t="shared" si="35"/>
        <v>0</v>
      </c>
      <c r="CX50" s="2">
        <f t="shared" si="36"/>
        <v>0</v>
      </c>
      <c r="CY50" s="2">
        <f t="shared" si="37"/>
        <v>300.3</v>
      </c>
      <c r="CZ50" s="2">
        <f t="shared" si="38"/>
        <v>184.8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83</v>
      </c>
      <c r="DW50" s="2" t="s">
        <v>83</v>
      </c>
      <c r="DX50" s="2">
        <v>1</v>
      </c>
      <c r="DY50" s="2"/>
      <c r="DZ50" s="2"/>
      <c r="EA50" s="2"/>
      <c r="EB50" s="2"/>
      <c r="EC50" s="2"/>
      <c r="ED50" s="2"/>
      <c r="EE50" s="2">
        <v>32653283</v>
      </c>
      <c r="EF50" s="2">
        <v>5</v>
      </c>
      <c r="EG50" s="2" t="s">
        <v>85</v>
      </c>
      <c r="EH50" s="2">
        <v>0</v>
      </c>
      <c r="EI50" s="2" t="s">
        <v>6</v>
      </c>
      <c r="EJ50" s="2">
        <v>4</v>
      </c>
      <c r="EK50" s="2">
        <v>200001</v>
      </c>
      <c r="EL50" s="2" t="s">
        <v>86</v>
      </c>
      <c r="EM50" s="2" t="s">
        <v>87</v>
      </c>
      <c r="EN50" s="2"/>
      <c r="EO50" s="2" t="s">
        <v>6</v>
      </c>
      <c r="EP50" s="2"/>
      <c r="EQ50" s="2">
        <v>0</v>
      </c>
      <c r="ER50" s="2">
        <v>921.7</v>
      </c>
      <c r="ES50" s="2">
        <v>0</v>
      </c>
      <c r="ET50" s="2">
        <v>0</v>
      </c>
      <c r="EU50" s="2">
        <v>0</v>
      </c>
      <c r="EV50" s="2">
        <v>921.7</v>
      </c>
      <c r="EW50" s="2">
        <v>65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39"/>
        <v>0</v>
      </c>
      <c r="FS50" s="2">
        <v>0</v>
      </c>
      <c r="FT50" s="2"/>
      <c r="FU50" s="2"/>
      <c r="FV50" s="2"/>
      <c r="FW50" s="2"/>
      <c r="FX50" s="2">
        <v>65</v>
      </c>
      <c r="FY50" s="2">
        <v>40</v>
      </c>
      <c r="FZ50" s="2"/>
      <c r="GA50" s="2" t="s">
        <v>6</v>
      </c>
      <c r="GB50" s="2"/>
      <c r="GC50" s="2"/>
      <c r="GD50" s="2">
        <v>0</v>
      </c>
      <c r="GE50" s="2"/>
      <c r="GF50" s="2">
        <v>-759183778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0"/>
        <v>0</v>
      </c>
      <c r="GM50" s="2">
        <f t="shared" si="41"/>
        <v>947</v>
      </c>
      <c r="GN50" s="2">
        <f t="shared" si="42"/>
        <v>0</v>
      </c>
      <c r="GO50" s="2">
        <f t="shared" si="43"/>
        <v>0</v>
      </c>
      <c r="GP50" s="2">
        <f t="shared" si="44"/>
        <v>947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5"/>
        <v>0</v>
      </c>
      <c r="GW50" s="2">
        <v>1</v>
      </c>
      <c r="GX50" s="2">
        <f t="shared" si="46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ROW(SmtRes!A36)</f>
        <v>36</v>
      </c>
      <c r="D51">
        <f>ROW(EtalonRes!A28)</f>
        <v>28</v>
      </c>
      <c r="E51" t="s">
        <v>80</v>
      </c>
      <c r="F51" t="s">
        <v>81</v>
      </c>
      <c r="G51" t="s">
        <v>82</v>
      </c>
      <c r="H51" t="s">
        <v>83</v>
      </c>
      <c r="I51">
        <f>'1.Смета.или.Акт'!E79</f>
        <v>0.501</v>
      </c>
      <c r="J51">
        <v>0</v>
      </c>
      <c r="O51">
        <f t="shared" si="14"/>
        <v>8450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8450</v>
      </c>
      <c r="T51">
        <f t="shared" si="19"/>
        <v>0</v>
      </c>
      <c r="U51">
        <f t="shared" si="20"/>
        <v>32.564999999999998</v>
      </c>
      <c r="V51">
        <f t="shared" si="21"/>
        <v>0</v>
      </c>
      <c r="W51">
        <f t="shared" si="22"/>
        <v>0</v>
      </c>
      <c r="X51">
        <f t="shared" si="23"/>
        <v>4648</v>
      </c>
      <c r="Y51">
        <f t="shared" si="24"/>
        <v>2704</v>
      </c>
      <c r="AA51">
        <v>34649991</v>
      </c>
      <c r="AB51">
        <f t="shared" si="25"/>
        <v>921.7</v>
      </c>
      <c r="AC51">
        <f>ROUND((ES51),2)</f>
        <v>0</v>
      </c>
      <c r="AD51">
        <f t="shared" si="54"/>
        <v>0</v>
      </c>
      <c r="AE51">
        <f t="shared" si="55"/>
        <v>0</v>
      </c>
      <c r="AF51">
        <f t="shared" si="56"/>
        <v>921.7</v>
      </c>
      <c r="AG51">
        <f t="shared" si="26"/>
        <v>0</v>
      </c>
      <c r="AH51">
        <f t="shared" si="57"/>
        <v>65</v>
      </c>
      <c r="AI51">
        <f t="shared" si="58"/>
        <v>0</v>
      </c>
      <c r="AJ51">
        <f t="shared" si="27"/>
        <v>0</v>
      </c>
      <c r="AK51">
        <f>AL51+AM51+AO51</f>
        <v>921.7</v>
      </c>
      <c r="AL51">
        <v>0</v>
      </c>
      <c r="AM51">
        <v>0</v>
      </c>
      <c r="AN51">
        <v>0</v>
      </c>
      <c r="AO51" s="55">
        <f>'1.Смета.или.Акт'!F80</f>
        <v>921.7</v>
      </c>
      <c r="AP51">
        <v>0</v>
      </c>
      <c r="AQ51">
        <f>'1.Смета.или.Акт'!E83</f>
        <v>65</v>
      </c>
      <c r="AR51">
        <v>0</v>
      </c>
      <c r="AS51">
        <v>0</v>
      </c>
      <c r="AT51">
        <v>55</v>
      </c>
      <c r="AU51">
        <v>32</v>
      </c>
      <c r="AV51">
        <v>1</v>
      </c>
      <c r="AW51">
        <v>1</v>
      </c>
      <c r="AZ51">
        <v>1</v>
      </c>
      <c r="BA51">
        <f>'1.Смета.или.Акт'!J80</f>
        <v>18.3</v>
      </c>
      <c r="BB51">
        <v>18.3</v>
      </c>
      <c r="BC51">
        <v>18.3</v>
      </c>
      <c r="BD51" t="s">
        <v>6</v>
      </c>
      <c r="BE51" t="s">
        <v>6</v>
      </c>
      <c r="BF51" t="s">
        <v>6</v>
      </c>
      <c r="BG51" t="s">
        <v>6</v>
      </c>
      <c r="BH51">
        <v>0</v>
      </c>
      <c r="BI51">
        <v>4</v>
      </c>
      <c r="BJ51" t="s">
        <v>84</v>
      </c>
      <c r="BM51">
        <v>200001</v>
      </c>
      <c r="BN51">
        <v>0</v>
      </c>
      <c r="BO51" t="s">
        <v>6</v>
      </c>
      <c r="BP51">
        <v>0</v>
      </c>
      <c r="BQ51">
        <v>5</v>
      </c>
      <c r="BR51">
        <v>0</v>
      </c>
      <c r="BS51"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65</v>
      </c>
      <c r="CA51">
        <v>40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28"/>
        <v>8450</v>
      </c>
      <c r="CQ51">
        <f t="shared" si="29"/>
        <v>0</v>
      </c>
      <c r="CR51">
        <f t="shared" si="30"/>
        <v>0</v>
      </c>
      <c r="CS51">
        <f t="shared" si="31"/>
        <v>0</v>
      </c>
      <c r="CT51">
        <f t="shared" si="32"/>
        <v>16867.11</v>
      </c>
      <c r="CU51">
        <f t="shared" si="33"/>
        <v>0</v>
      </c>
      <c r="CV51">
        <f t="shared" si="34"/>
        <v>65</v>
      </c>
      <c r="CW51">
        <f t="shared" si="35"/>
        <v>0</v>
      </c>
      <c r="CX51">
        <f t="shared" si="36"/>
        <v>0</v>
      </c>
      <c r="CY51">
        <f t="shared" si="37"/>
        <v>4647.5</v>
      </c>
      <c r="CZ51">
        <f t="shared" si="38"/>
        <v>2704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83</v>
      </c>
      <c r="DW51" t="str">
        <f>'1.Смета.или.Акт'!D79</f>
        <v>система</v>
      </c>
      <c r="DX51">
        <v>1</v>
      </c>
      <c r="EE51">
        <v>32653283</v>
      </c>
      <c r="EF51">
        <v>5</v>
      </c>
      <c r="EG51" t="s">
        <v>85</v>
      </c>
      <c r="EH51">
        <v>0</v>
      </c>
      <c r="EI51" t="s">
        <v>6</v>
      </c>
      <c r="EJ51">
        <v>4</v>
      </c>
      <c r="EK51">
        <v>200001</v>
      </c>
      <c r="EL51" t="s">
        <v>86</v>
      </c>
      <c r="EM51" t="s">
        <v>87</v>
      </c>
      <c r="EO51" t="s">
        <v>6</v>
      </c>
      <c r="EQ51">
        <v>0</v>
      </c>
      <c r="ER51">
        <f>ES51+ET51+EV51</f>
        <v>921.7</v>
      </c>
      <c r="ES51">
        <v>0</v>
      </c>
      <c r="ET51">
        <v>0</v>
      </c>
      <c r="EU51">
        <v>0</v>
      </c>
      <c r="EV51" s="55">
        <f>'1.Смета.или.Акт'!F80</f>
        <v>921.7</v>
      </c>
      <c r="EW51">
        <f>'1.Смета.или.Акт'!E83</f>
        <v>65</v>
      </c>
      <c r="EX51">
        <v>0</v>
      </c>
      <c r="EY51">
        <v>0</v>
      </c>
      <c r="FQ51">
        <v>0</v>
      </c>
      <c r="FR51">
        <f t="shared" si="39"/>
        <v>0</v>
      </c>
      <c r="FS51">
        <v>0</v>
      </c>
      <c r="FV51" t="s">
        <v>25</v>
      </c>
      <c r="FW51" t="s">
        <v>26</v>
      </c>
      <c r="FX51">
        <v>65</v>
      </c>
      <c r="FY51">
        <v>40</v>
      </c>
      <c r="GA51" t="s">
        <v>6</v>
      </c>
      <c r="GD51">
        <v>0</v>
      </c>
      <c r="GF51">
        <v>-759183778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0"/>
        <v>0</v>
      </c>
      <c r="GM51">
        <f t="shared" si="41"/>
        <v>15802</v>
      </c>
      <c r="GN51">
        <f t="shared" si="42"/>
        <v>0</v>
      </c>
      <c r="GO51">
        <f t="shared" si="43"/>
        <v>0</v>
      </c>
      <c r="GP51">
        <f t="shared" si="44"/>
        <v>15802</v>
      </c>
      <c r="GR51">
        <v>0</v>
      </c>
      <c r="GS51">
        <v>3</v>
      </c>
      <c r="GT51">
        <v>0</v>
      </c>
      <c r="GU51" t="s">
        <v>6</v>
      </c>
      <c r="GV51">
        <f t="shared" si="45"/>
        <v>0</v>
      </c>
      <c r="GW51">
        <v>18.3</v>
      </c>
      <c r="GX51">
        <f t="shared" si="46"/>
        <v>0</v>
      </c>
      <c r="HA51">
        <v>0</v>
      </c>
      <c r="HB51">
        <v>0</v>
      </c>
      <c r="IK51">
        <v>0</v>
      </c>
    </row>
    <row r="53" spans="1:255" x14ac:dyDescent="0.2">
      <c r="A53" s="3">
        <v>51</v>
      </c>
      <c r="B53" s="3">
        <f>B20</f>
        <v>1</v>
      </c>
      <c r="C53" s="3">
        <f>A20</f>
        <v>3</v>
      </c>
      <c r="D53" s="3">
        <f>ROW(A20)</f>
        <v>20</v>
      </c>
      <c r="E53" s="3"/>
      <c r="F53" s="3" t="str">
        <f>IF(F20&lt;&gt;"",F20,"")</f>
        <v>Новая локальная смета</v>
      </c>
      <c r="G53" s="3" t="str">
        <f>IF(G20&lt;&gt;"",G20,"")</f>
        <v>Новая локальная смета</v>
      </c>
      <c r="H53" s="3">
        <v>0</v>
      </c>
      <c r="I53" s="3"/>
      <c r="J53" s="3"/>
      <c r="K53" s="3"/>
      <c r="L53" s="3"/>
      <c r="M53" s="3"/>
      <c r="N53" s="3"/>
      <c r="O53" s="3">
        <f t="shared" ref="O53:T53" si="59">ROUND(AB53,0)</f>
        <v>70478</v>
      </c>
      <c r="P53" s="3">
        <f t="shared" si="59"/>
        <v>69475</v>
      </c>
      <c r="Q53" s="3">
        <f t="shared" si="59"/>
        <v>0</v>
      </c>
      <c r="R53" s="3">
        <f t="shared" si="59"/>
        <v>0</v>
      </c>
      <c r="S53" s="3">
        <f t="shared" si="59"/>
        <v>1003</v>
      </c>
      <c r="T53" s="3">
        <f t="shared" si="59"/>
        <v>0</v>
      </c>
      <c r="U53" s="3">
        <f>AH53</f>
        <v>82.703744999999998</v>
      </c>
      <c r="V53" s="3">
        <f>AI53</f>
        <v>0</v>
      </c>
      <c r="W53" s="3">
        <f>ROUND(AJ53,0)</f>
        <v>0</v>
      </c>
      <c r="X53" s="3">
        <f>ROUND(AK53,0)</f>
        <v>732</v>
      </c>
      <c r="Y53" s="3">
        <f>ROUND(AL53,0)</f>
        <v>510</v>
      </c>
      <c r="Z53" s="3"/>
      <c r="AA53" s="3"/>
      <c r="AB53" s="3">
        <f>ROUND(SUMIF(AA24:AA51,"=34649990",O24:O51),0)</f>
        <v>70478</v>
      </c>
      <c r="AC53" s="3">
        <f>ROUND(SUMIF(AA24:AA51,"=34649990",P24:P51),0)</f>
        <v>69475</v>
      </c>
      <c r="AD53" s="3">
        <f>ROUND(SUMIF(AA24:AA51,"=34649990",Q24:Q51),0)</f>
        <v>0</v>
      </c>
      <c r="AE53" s="3">
        <f>ROUND(SUMIF(AA24:AA51,"=34649990",R24:R51),0)</f>
        <v>0</v>
      </c>
      <c r="AF53" s="3">
        <f>ROUND(SUMIF(AA24:AA51,"=34649990",S24:S51),0)</f>
        <v>1003</v>
      </c>
      <c r="AG53" s="3">
        <f>ROUND(SUMIF(AA24:AA51,"=34649990",T24:T51),0)</f>
        <v>0</v>
      </c>
      <c r="AH53" s="3">
        <f>SUMIF(AA24:AA51,"=34649990",U24:U51)</f>
        <v>82.703744999999998</v>
      </c>
      <c r="AI53" s="3">
        <f>SUMIF(AA24:AA51,"=34649990",V24:V51)</f>
        <v>0</v>
      </c>
      <c r="AJ53" s="3">
        <f>ROUND(SUMIF(AA24:AA51,"=34649990",W24:W51),0)</f>
        <v>0</v>
      </c>
      <c r="AK53" s="3">
        <f>ROUND(SUMIF(AA24:AA51,"=34649990",X24:X51),0)</f>
        <v>732</v>
      </c>
      <c r="AL53" s="3">
        <f>ROUND(SUMIF(AA24:AA51,"=34649990",Y24:Y51),0)</f>
        <v>510</v>
      </c>
      <c r="AM53" s="3"/>
      <c r="AN53" s="3"/>
      <c r="AO53" s="3">
        <f t="shared" ref="AO53:BC53" si="60">ROUND(BX53,0)</f>
        <v>0</v>
      </c>
      <c r="AP53" s="3">
        <f t="shared" si="60"/>
        <v>0</v>
      </c>
      <c r="AQ53" s="3">
        <f t="shared" si="60"/>
        <v>0</v>
      </c>
      <c r="AR53" s="3">
        <f t="shared" si="60"/>
        <v>71720</v>
      </c>
      <c r="AS53" s="3">
        <f t="shared" si="60"/>
        <v>69475</v>
      </c>
      <c r="AT53" s="3">
        <f t="shared" si="60"/>
        <v>1298</v>
      </c>
      <c r="AU53" s="3">
        <f t="shared" si="60"/>
        <v>947</v>
      </c>
      <c r="AV53" s="3">
        <f t="shared" si="60"/>
        <v>69475</v>
      </c>
      <c r="AW53" s="3">
        <f t="shared" si="60"/>
        <v>69475</v>
      </c>
      <c r="AX53" s="3">
        <f t="shared" si="60"/>
        <v>0</v>
      </c>
      <c r="AY53" s="3">
        <f t="shared" si="60"/>
        <v>69475</v>
      </c>
      <c r="AZ53" s="3">
        <f t="shared" si="60"/>
        <v>0</v>
      </c>
      <c r="BA53" s="3">
        <f t="shared" si="60"/>
        <v>0</v>
      </c>
      <c r="BB53" s="3">
        <f t="shared" si="60"/>
        <v>0</v>
      </c>
      <c r="BC53" s="3">
        <f t="shared" si="60"/>
        <v>0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>
        <f>ROUND(SUMIF(AA24:AA51,"=34649990",FQ24:FQ51),0)</f>
        <v>0</v>
      </c>
      <c r="BY53" s="3">
        <f>ROUND(SUMIF(AA24:AA51,"=34649990",FR24:FR51),0)</f>
        <v>0</v>
      </c>
      <c r="BZ53" s="3">
        <f>ROUND(SUMIF(AA24:AA51,"=34649990",GL24:GL51),0)</f>
        <v>0</v>
      </c>
      <c r="CA53" s="3">
        <f>ROUND(SUMIF(AA24:AA51,"=34649990",GM24:GM51),0)</f>
        <v>71720</v>
      </c>
      <c r="CB53" s="3">
        <f>ROUND(SUMIF(AA24:AA51,"=34649990",GN24:GN51),0)</f>
        <v>69475</v>
      </c>
      <c r="CC53" s="3">
        <f>ROUND(SUMIF(AA24:AA51,"=34649990",GO24:GO51),0)</f>
        <v>1298</v>
      </c>
      <c r="CD53" s="3">
        <f>ROUND(SUMIF(AA24:AA51,"=34649990",GP24:GP51),0)</f>
        <v>947</v>
      </c>
      <c r="CE53" s="3">
        <f>AC53-BX53</f>
        <v>69475</v>
      </c>
      <c r="CF53" s="3">
        <f>AC53-BY53</f>
        <v>69475</v>
      </c>
      <c r="CG53" s="3">
        <f>BX53-BZ53</f>
        <v>0</v>
      </c>
      <c r="CH53" s="3">
        <f>AC53-BX53-BY53+BZ53</f>
        <v>69475</v>
      </c>
      <c r="CI53" s="3">
        <f>BY53-BZ53</f>
        <v>0</v>
      </c>
      <c r="CJ53" s="3">
        <f>ROUND(SUMIF(AA24:AA51,"=34649990",GX24:GX51),0)</f>
        <v>0</v>
      </c>
      <c r="CK53" s="3">
        <f>ROUND(SUMIF(AA24:AA51,"=34649990",GY24:GY51),0)</f>
        <v>0</v>
      </c>
      <c r="CL53" s="3">
        <f>ROUND(SUMIF(AA24:AA51,"=34649990",GZ24:GZ51),0)</f>
        <v>0</v>
      </c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4">
        <f t="shared" ref="DG53:DL53" si="61">ROUND(DT53,0)</f>
        <v>539435</v>
      </c>
      <c r="DH53" s="4">
        <f t="shared" si="61"/>
        <v>521065</v>
      </c>
      <c r="DI53" s="4">
        <f t="shared" si="61"/>
        <v>0</v>
      </c>
      <c r="DJ53" s="4">
        <f t="shared" si="61"/>
        <v>0</v>
      </c>
      <c r="DK53" s="4">
        <f t="shared" si="61"/>
        <v>18370</v>
      </c>
      <c r="DL53" s="4">
        <f t="shared" si="61"/>
        <v>0</v>
      </c>
      <c r="DM53" s="4">
        <f>DZ53</f>
        <v>82.703744999999998</v>
      </c>
      <c r="DN53" s="4">
        <f>EA53</f>
        <v>0</v>
      </c>
      <c r="DO53" s="4">
        <f>ROUND(EB53,0)</f>
        <v>0</v>
      </c>
      <c r="DP53" s="4">
        <f>ROUND(EC53,0)</f>
        <v>11394</v>
      </c>
      <c r="DQ53" s="4">
        <f>ROUND(ED53,0)</f>
        <v>7466</v>
      </c>
      <c r="DR53" s="4"/>
      <c r="DS53" s="4"/>
      <c r="DT53" s="4">
        <f>ROUND(SUMIF(AA24:AA51,"=34649991",O24:O51),0)</f>
        <v>539435</v>
      </c>
      <c r="DU53" s="4">
        <f>ROUND(SUMIF(AA24:AA51,"=34649991",P24:P51),0)</f>
        <v>521065</v>
      </c>
      <c r="DV53" s="4">
        <f>ROUND(SUMIF(AA24:AA51,"=34649991",Q24:Q51),0)</f>
        <v>0</v>
      </c>
      <c r="DW53" s="4">
        <f>ROUND(SUMIF(AA24:AA51,"=34649991",R24:R51),0)</f>
        <v>0</v>
      </c>
      <c r="DX53" s="4">
        <f>ROUND(SUMIF(AA24:AA51,"=34649991",S24:S51),0)</f>
        <v>18370</v>
      </c>
      <c r="DY53" s="4">
        <f>ROUND(SUMIF(AA24:AA51,"=34649991",T24:T51),0)</f>
        <v>0</v>
      </c>
      <c r="DZ53" s="4">
        <f>SUMIF(AA24:AA51,"=34649991",U24:U51)</f>
        <v>82.703744999999998</v>
      </c>
      <c r="EA53" s="4">
        <f>SUMIF(AA24:AA51,"=34649991",V24:V51)</f>
        <v>0</v>
      </c>
      <c r="EB53" s="4">
        <f>ROUND(SUMIF(AA24:AA51,"=34649991",W24:W51),0)</f>
        <v>0</v>
      </c>
      <c r="EC53" s="4">
        <f>ROUND(SUMIF(AA24:AA51,"=34649991",X24:X51),0)</f>
        <v>11394</v>
      </c>
      <c r="ED53" s="4">
        <f>ROUND(SUMIF(AA24:AA51,"=34649991",Y24:Y51),0)</f>
        <v>7466</v>
      </c>
      <c r="EE53" s="4"/>
      <c r="EF53" s="4"/>
      <c r="EG53" s="4">
        <f t="shared" ref="EG53:EU53" si="62">ROUND(FP53,0)</f>
        <v>0</v>
      </c>
      <c r="EH53" s="4">
        <f t="shared" si="62"/>
        <v>0</v>
      </c>
      <c r="EI53" s="4">
        <f t="shared" si="62"/>
        <v>0</v>
      </c>
      <c r="EJ53" s="4">
        <f t="shared" si="62"/>
        <v>558295</v>
      </c>
      <c r="EK53" s="4">
        <f t="shared" si="62"/>
        <v>521065</v>
      </c>
      <c r="EL53" s="4">
        <f t="shared" si="62"/>
        <v>21428</v>
      </c>
      <c r="EM53" s="4">
        <f t="shared" si="62"/>
        <v>15802</v>
      </c>
      <c r="EN53" s="4">
        <f t="shared" si="62"/>
        <v>521065</v>
      </c>
      <c r="EO53" s="4">
        <f t="shared" si="62"/>
        <v>521065</v>
      </c>
      <c r="EP53" s="4">
        <f t="shared" si="62"/>
        <v>0</v>
      </c>
      <c r="EQ53" s="4">
        <f t="shared" si="62"/>
        <v>521065</v>
      </c>
      <c r="ER53" s="4">
        <f t="shared" si="62"/>
        <v>0</v>
      </c>
      <c r="ES53" s="4">
        <f t="shared" si="62"/>
        <v>0</v>
      </c>
      <c r="ET53" s="4">
        <f t="shared" si="62"/>
        <v>0</v>
      </c>
      <c r="EU53" s="4">
        <f t="shared" si="62"/>
        <v>0</v>
      </c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>
        <f>ROUND(SUMIF(AA24:AA51,"=34649991",FQ24:FQ51),0)</f>
        <v>0</v>
      </c>
      <c r="FQ53" s="4">
        <f>ROUND(SUMIF(AA24:AA51,"=34649991",FR24:FR51),0)</f>
        <v>0</v>
      </c>
      <c r="FR53" s="4">
        <f>ROUND(SUMIF(AA24:AA51,"=34649991",GL24:GL51),0)</f>
        <v>0</v>
      </c>
      <c r="FS53" s="4">
        <f>ROUND(SUMIF(AA24:AA51,"=34649991",GM24:GM51),0)</f>
        <v>558295</v>
      </c>
      <c r="FT53" s="4">
        <f>ROUND(SUMIF(AA24:AA51,"=34649991",GN24:GN51),0)</f>
        <v>521065</v>
      </c>
      <c r="FU53" s="4">
        <f>ROUND(SUMIF(AA24:AA51,"=34649991",GO24:GO51),0)</f>
        <v>21428</v>
      </c>
      <c r="FV53" s="4">
        <f>ROUND(SUMIF(AA24:AA51,"=34649991",GP24:GP51),0)</f>
        <v>15802</v>
      </c>
      <c r="FW53" s="4">
        <f>DU53-FP53</f>
        <v>521065</v>
      </c>
      <c r="FX53" s="4">
        <f>DU53-FQ53</f>
        <v>521065</v>
      </c>
      <c r="FY53" s="4">
        <f>FP53-FR53</f>
        <v>0</v>
      </c>
      <c r="FZ53" s="4">
        <f>DU53-FP53-FQ53+FR53</f>
        <v>521065</v>
      </c>
      <c r="GA53" s="4">
        <f>FQ53-FR53</f>
        <v>0</v>
      </c>
      <c r="GB53" s="4">
        <f>ROUND(SUMIF(AA24:AA51,"=34649991",GX24:GX51),0)</f>
        <v>0</v>
      </c>
      <c r="GC53" s="4">
        <f>ROUND(SUMIF(AA24:AA51,"=34649991",GY24:GY51),0)</f>
        <v>0</v>
      </c>
      <c r="GD53" s="4">
        <f>ROUND(SUMIF(AA24:AA51,"=34649991",GZ24:GZ51),0)</f>
        <v>0</v>
      </c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>
        <v>0</v>
      </c>
    </row>
    <row r="55" spans="1:255" x14ac:dyDescent="0.2">
      <c r="A55" s="5">
        <v>50</v>
      </c>
      <c r="B55" s="5">
        <v>0</v>
      </c>
      <c r="C55" s="5">
        <v>0</v>
      </c>
      <c r="D55" s="5">
        <v>1</v>
      </c>
      <c r="E55" s="5">
        <v>201</v>
      </c>
      <c r="F55" s="5">
        <f>ROUND(Source!O53,O55)</f>
        <v>70478</v>
      </c>
      <c r="G55" s="5" t="s">
        <v>88</v>
      </c>
      <c r="H55" s="5" t="s">
        <v>89</v>
      </c>
      <c r="I55" s="5"/>
      <c r="J55" s="5"/>
      <c r="K55" s="5">
        <v>201</v>
      </c>
      <c r="L55" s="5">
        <v>1</v>
      </c>
      <c r="M55" s="5">
        <v>3</v>
      </c>
      <c r="N55" s="5" t="s">
        <v>6</v>
      </c>
      <c r="O55" s="5">
        <v>0</v>
      </c>
      <c r="P55" s="5">
        <f>ROUND(Source!DG53,O55)</f>
        <v>539435</v>
      </c>
      <c r="Q55" s="5"/>
      <c r="R55" s="5"/>
      <c r="S55" s="5"/>
      <c r="T55" s="5"/>
      <c r="U55" s="5"/>
      <c r="V55" s="5"/>
      <c r="W55" s="5"/>
    </row>
    <row r="56" spans="1:255" x14ac:dyDescent="0.2">
      <c r="A56" s="5">
        <v>50</v>
      </c>
      <c r="B56" s="5">
        <v>0</v>
      </c>
      <c r="C56" s="5">
        <v>0</v>
      </c>
      <c r="D56" s="5">
        <v>1</v>
      </c>
      <c r="E56" s="5">
        <v>202</v>
      </c>
      <c r="F56" s="5">
        <f>ROUND(Source!P53,O56)</f>
        <v>69475</v>
      </c>
      <c r="G56" s="5" t="s">
        <v>90</v>
      </c>
      <c r="H56" s="5" t="s">
        <v>91</v>
      </c>
      <c r="I56" s="5"/>
      <c r="J56" s="5"/>
      <c r="K56" s="5">
        <v>202</v>
      </c>
      <c r="L56" s="5">
        <v>2</v>
      </c>
      <c r="M56" s="5">
        <v>3</v>
      </c>
      <c r="N56" s="5" t="s">
        <v>6</v>
      </c>
      <c r="O56" s="5">
        <v>0</v>
      </c>
      <c r="P56" s="5">
        <f>ROUND(Source!DH53,O56)</f>
        <v>521065</v>
      </c>
      <c r="Q56" s="5"/>
      <c r="R56" s="5"/>
      <c r="S56" s="5"/>
      <c r="T56" s="5"/>
      <c r="U56" s="5"/>
      <c r="V56" s="5"/>
      <c r="W56" s="5"/>
    </row>
    <row r="57" spans="1:255" x14ac:dyDescent="0.2">
      <c r="A57" s="5">
        <v>50</v>
      </c>
      <c r="B57" s="5">
        <v>0</v>
      </c>
      <c r="C57" s="5">
        <v>0</v>
      </c>
      <c r="D57" s="5">
        <v>1</v>
      </c>
      <c r="E57" s="5">
        <v>222</v>
      </c>
      <c r="F57" s="5">
        <f>ROUND(Source!AO53,O57)</f>
        <v>0</v>
      </c>
      <c r="G57" s="5" t="s">
        <v>92</v>
      </c>
      <c r="H57" s="5" t="s">
        <v>93</v>
      </c>
      <c r="I57" s="5"/>
      <c r="J57" s="5"/>
      <c r="K57" s="5">
        <v>222</v>
      </c>
      <c r="L57" s="5">
        <v>3</v>
      </c>
      <c r="M57" s="5">
        <v>3</v>
      </c>
      <c r="N57" s="5" t="s">
        <v>6</v>
      </c>
      <c r="O57" s="5">
        <v>0</v>
      </c>
      <c r="P57" s="5">
        <f>ROUND(Source!EG53,O57)</f>
        <v>0</v>
      </c>
      <c r="Q57" s="5"/>
      <c r="R57" s="5"/>
      <c r="S57" s="5"/>
      <c r="T57" s="5"/>
      <c r="U57" s="5"/>
      <c r="V57" s="5"/>
      <c r="W57" s="5"/>
    </row>
    <row r="58" spans="1:255" x14ac:dyDescent="0.2">
      <c r="A58" s="5">
        <v>50</v>
      </c>
      <c r="B58" s="5">
        <v>0</v>
      </c>
      <c r="C58" s="5">
        <v>0</v>
      </c>
      <c r="D58" s="5">
        <v>1</v>
      </c>
      <c r="E58" s="5">
        <v>225</v>
      </c>
      <c r="F58" s="5">
        <f>ROUND(Source!AV53,O58)</f>
        <v>69475</v>
      </c>
      <c r="G58" s="5" t="s">
        <v>94</v>
      </c>
      <c r="H58" s="5" t="s">
        <v>95</v>
      </c>
      <c r="I58" s="5"/>
      <c r="J58" s="5"/>
      <c r="K58" s="5">
        <v>225</v>
      </c>
      <c r="L58" s="5">
        <v>4</v>
      </c>
      <c r="M58" s="5">
        <v>3</v>
      </c>
      <c r="N58" s="5" t="s">
        <v>6</v>
      </c>
      <c r="O58" s="5">
        <v>0</v>
      </c>
      <c r="P58" s="5">
        <f>ROUND(Source!EN53,O58)</f>
        <v>521065</v>
      </c>
      <c r="Q58" s="5"/>
      <c r="R58" s="5"/>
      <c r="S58" s="5"/>
      <c r="T58" s="5"/>
      <c r="U58" s="5"/>
      <c r="V58" s="5"/>
      <c r="W58" s="5"/>
    </row>
    <row r="59" spans="1:255" x14ac:dyDescent="0.2">
      <c r="A59" s="5">
        <v>50</v>
      </c>
      <c r="B59" s="5">
        <v>0</v>
      </c>
      <c r="C59" s="5">
        <v>0</v>
      </c>
      <c r="D59" s="5">
        <v>1</v>
      </c>
      <c r="E59" s="5">
        <v>226</v>
      </c>
      <c r="F59" s="5">
        <f>ROUND(Source!AW53,O59)</f>
        <v>69475</v>
      </c>
      <c r="G59" s="5" t="s">
        <v>96</v>
      </c>
      <c r="H59" s="5" t="s">
        <v>97</v>
      </c>
      <c r="I59" s="5"/>
      <c r="J59" s="5"/>
      <c r="K59" s="5">
        <v>226</v>
      </c>
      <c r="L59" s="5">
        <v>5</v>
      </c>
      <c r="M59" s="5">
        <v>3</v>
      </c>
      <c r="N59" s="5" t="s">
        <v>6</v>
      </c>
      <c r="O59" s="5">
        <v>0</v>
      </c>
      <c r="P59" s="5">
        <f>ROUND(Source!EO53,O59)</f>
        <v>521065</v>
      </c>
      <c r="Q59" s="5"/>
      <c r="R59" s="5"/>
      <c r="S59" s="5"/>
      <c r="T59" s="5"/>
      <c r="U59" s="5"/>
      <c r="V59" s="5"/>
      <c r="W59" s="5"/>
    </row>
    <row r="60" spans="1:255" x14ac:dyDescent="0.2">
      <c r="A60" s="5">
        <v>50</v>
      </c>
      <c r="B60" s="5">
        <v>0</v>
      </c>
      <c r="C60" s="5">
        <v>0</v>
      </c>
      <c r="D60" s="5">
        <v>1</v>
      </c>
      <c r="E60" s="5">
        <v>227</v>
      </c>
      <c r="F60" s="5">
        <f>ROUND(Source!AX53,O60)</f>
        <v>0</v>
      </c>
      <c r="G60" s="5" t="s">
        <v>98</v>
      </c>
      <c r="H60" s="5" t="s">
        <v>99</v>
      </c>
      <c r="I60" s="5"/>
      <c r="J60" s="5"/>
      <c r="K60" s="5">
        <v>227</v>
      </c>
      <c r="L60" s="5">
        <v>6</v>
      </c>
      <c r="M60" s="5">
        <v>3</v>
      </c>
      <c r="N60" s="5" t="s">
        <v>6</v>
      </c>
      <c r="O60" s="5">
        <v>0</v>
      </c>
      <c r="P60" s="5">
        <f>ROUND(Source!EP53,O60)</f>
        <v>0</v>
      </c>
      <c r="Q60" s="5"/>
      <c r="R60" s="5"/>
      <c r="S60" s="5"/>
      <c r="T60" s="5"/>
      <c r="U60" s="5"/>
      <c r="V60" s="5"/>
      <c r="W60" s="5"/>
    </row>
    <row r="61" spans="1:255" x14ac:dyDescent="0.2">
      <c r="A61" s="5">
        <v>50</v>
      </c>
      <c r="B61" s="5">
        <v>0</v>
      </c>
      <c r="C61" s="5">
        <v>0</v>
      </c>
      <c r="D61" s="5">
        <v>1</v>
      </c>
      <c r="E61" s="5">
        <v>228</v>
      </c>
      <c r="F61" s="5">
        <f>ROUND(Source!AY53,O61)</f>
        <v>69475</v>
      </c>
      <c r="G61" s="5" t="s">
        <v>100</v>
      </c>
      <c r="H61" s="5" t="s">
        <v>101</v>
      </c>
      <c r="I61" s="5"/>
      <c r="J61" s="5"/>
      <c r="K61" s="5">
        <v>228</v>
      </c>
      <c r="L61" s="5">
        <v>7</v>
      </c>
      <c r="M61" s="5">
        <v>3</v>
      </c>
      <c r="N61" s="5" t="s">
        <v>6</v>
      </c>
      <c r="O61" s="5">
        <v>0</v>
      </c>
      <c r="P61" s="5">
        <f>ROUND(Source!EQ53,O61)</f>
        <v>521065</v>
      </c>
      <c r="Q61" s="5"/>
      <c r="R61" s="5"/>
      <c r="S61" s="5"/>
      <c r="T61" s="5"/>
      <c r="U61" s="5"/>
      <c r="V61" s="5"/>
      <c r="W61" s="5"/>
    </row>
    <row r="62" spans="1:255" x14ac:dyDescent="0.2">
      <c r="A62" s="5">
        <v>50</v>
      </c>
      <c r="B62" s="5">
        <v>0</v>
      </c>
      <c r="C62" s="5">
        <v>0</v>
      </c>
      <c r="D62" s="5">
        <v>1</v>
      </c>
      <c r="E62" s="5">
        <v>216</v>
      </c>
      <c r="F62" s="5">
        <f>ROUND(Source!AP53,O62)</f>
        <v>0</v>
      </c>
      <c r="G62" s="5" t="s">
        <v>102</v>
      </c>
      <c r="H62" s="5" t="s">
        <v>103</v>
      </c>
      <c r="I62" s="5"/>
      <c r="J62" s="5"/>
      <c r="K62" s="5">
        <v>216</v>
      </c>
      <c r="L62" s="5">
        <v>8</v>
      </c>
      <c r="M62" s="5">
        <v>3</v>
      </c>
      <c r="N62" s="5" t="s">
        <v>6</v>
      </c>
      <c r="O62" s="5">
        <v>0</v>
      </c>
      <c r="P62" s="5">
        <f>ROUND(Source!EH53,O62)</f>
        <v>0</v>
      </c>
      <c r="Q62" s="5"/>
      <c r="R62" s="5"/>
      <c r="S62" s="5"/>
      <c r="T62" s="5"/>
      <c r="U62" s="5"/>
      <c r="V62" s="5"/>
      <c r="W62" s="5"/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223</v>
      </c>
      <c r="F63" s="5">
        <f>ROUND(Source!AQ53,O63)</f>
        <v>0</v>
      </c>
      <c r="G63" s="5" t="s">
        <v>104</v>
      </c>
      <c r="H63" s="5" t="s">
        <v>105</v>
      </c>
      <c r="I63" s="5"/>
      <c r="J63" s="5"/>
      <c r="K63" s="5">
        <v>223</v>
      </c>
      <c r="L63" s="5">
        <v>9</v>
      </c>
      <c r="M63" s="5">
        <v>3</v>
      </c>
      <c r="N63" s="5" t="s">
        <v>6</v>
      </c>
      <c r="O63" s="5">
        <v>0</v>
      </c>
      <c r="P63" s="5">
        <f>ROUND(Source!EI53,O63)</f>
        <v>0</v>
      </c>
      <c r="Q63" s="5"/>
      <c r="R63" s="5"/>
      <c r="S63" s="5"/>
      <c r="T63" s="5"/>
      <c r="U63" s="5"/>
      <c r="V63" s="5"/>
      <c r="W63" s="5"/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229</v>
      </c>
      <c r="F64" s="5">
        <f>ROUND(Source!AZ53,O64)</f>
        <v>0</v>
      </c>
      <c r="G64" s="5" t="s">
        <v>106</v>
      </c>
      <c r="H64" s="5" t="s">
        <v>107</v>
      </c>
      <c r="I64" s="5"/>
      <c r="J64" s="5"/>
      <c r="K64" s="5">
        <v>229</v>
      </c>
      <c r="L64" s="5">
        <v>10</v>
      </c>
      <c r="M64" s="5">
        <v>3</v>
      </c>
      <c r="N64" s="5" t="s">
        <v>6</v>
      </c>
      <c r="O64" s="5">
        <v>0</v>
      </c>
      <c r="P64" s="5">
        <f>ROUND(Source!ER53,O64)</f>
        <v>0</v>
      </c>
      <c r="Q64" s="5"/>
      <c r="R64" s="5"/>
      <c r="S64" s="5"/>
      <c r="T64" s="5"/>
      <c r="U64" s="5"/>
      <c r="V64" s="5"/>
      <c r="W64" s="5"/>
    </row>
    <row r="65" spans="1:23" x14ac:dyDescent="0.2">
      <c r="A65" s="5">
        <v>50</v>
      </c>
      <c r="B65" s="5">
        <v>0</v>
      </c>
      <c r="C65" s="5">
        <v>0</v>
      </c>
      <c r="D65" s="5">
        <v>1</v>
      </c>
      <c r="E65" s="5">
        <v>203</v>
      </c>
      <c r="F65" s="5">
        <f>ROUND(Source!Q53,O65)</f>
        <v>0</v>
      </c>
      <c r="G65" s="5" t="s">
        <v>108</v>
      </c>
      <c r="H65" s="5" t="s">
        <v>109</v>
      </c>
      <c r="I65" s="5"/>
      <c r="J65" s="5"/>
      <c r="K65" s="5">
        <v>203</v>
      </c>
      <c r="L65" s="5">
        <v>11</v>
      </c>
      <c r="M65" s="5">
        <v>3</v>
      </c>
      <c r="N65" s="5" t="s">
        <v>6</v>
      </c>
      <c r="O65" s="5">
        <v>0</v>
      </c>
      <c r="P65" s="5">
        <f>ROUND(Source!DI53,O65)</f>
        <v>0</v>
      </c>
      <c r="Q65" s="5"/>
      <c r="R65" s="5"/>
      <c r="S65" s="5"/>
      <c r="T65" s="5"/>
      <c r="U65" s="5"/>
      <c r="V65" s="5"/>
      <c r="W65" s="5"/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231</v>
      </c>
      <c r="F66" s="5">
        <f>ROUND(Source!BB53,O66)</f>
        <v>0</v>
      </c>
      <c r="G66" s="5" t="s">
        <v>110</v>
      </c>
      <c r="H66" s="5" t="s">
        <v>111</v>
      </c>
      <c r="I66" s="5"/>
      <c r="J66" s="5"/>
      <c r="K66" s="5">
        <v>231</v>
      </c>
      <c r="L66" s="5">
        <v>12</v>
      </c>
      <c r="M66" s="5">
        <v>3</v>
      </c>
      <c r="N66" s="5" t="s">
        <v>6</v>
      </c>
      <c r="O66" s="5">
        <v>0</v>
      </c>
      <c r="P66" s="5">
        <f>ROUND(Source!ET53,O66)</f>
        <v>0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204</v>
      </c>
      <c r="F67" s="5">
        <f>ROUND(Source!R53,O67)</f>
        <v>0</v>
      </c>
      <c r="G67" s="5" t="s">
        <v>112</v>
      </c>
      <c r="H67" s="5" t="s">
        <v>113</v>
      </c>
      <c r="I67" s="5"/>
      <c r="J67" s="5"/>
      <c r="K67" s="5">
        <v>204</v>
      </c>
      <c r="L67" s="5">
        <v>13</v>
      </c>
      <c r="M67" s="5">
        <v>3</v>
      </c>
      <c r="N67" s="5" t="s">
        <v>6</v>
      </c>
      <c r="O67" s="5">
        <v>0</v>
      </c>
      <c r="P67" s="5">
        <f>ROUND(Source!DJ53,O67)</f>
        <v>0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205</v>
      </c>
      <c r="F68" s="5">
        <f>ROUND(Source!S53,O68)</f>
        <v>1003</v>
      </c>
      <c r="G68" s="5" t="s">
        <v>114</v>
      </c>
      <c r="H68" s="5" t="s">
        <v>115</v>
      </c>
      <c r="I68" s="5"/>
      <c r="J68" s="5"/>
      <c r="K68" s="5">
        <v>205</v>
      </c>
      <c r="L68" s="5">
        <v>14</v>
      </c>
      <c r="M68" s="5">
        <v>3</v>
      </c>
      <c r="N68" s="5" t="s">
        <v>6</v>
      </c>
      <c r="O68" s="5">
        <v>0</v>
      </c>
      <c r="P68" s="5">
        <f>ROUND(Source!DK53,O68)</f>
        <v>18370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232</v>
      </c>
      <c r="F69" s="5">
        <f>ROUND(Source!BC53,O69)</f>
        <v>0</v>
      </c>
      <c r="G69" s="5" t="s">
        <v>116</v>
      </c>
      <c r="H69" s="5" t="s">
        <v>117</v>
      </c>
      <c r="I69" s="5"/>
      <c r="J69" s="5"/>
      <c r="K69" s="5">
        <v>232</v>
      </c>
      <c r="L69" s="5">
        <v>15</v>
      </c>
      <c r="M69" s="5">
        <v>3</v>
      </c>
      <c r="N69" s="5" t="s">
        <v>6</v>
      </c>
      <c r="O69" s="5">
        <v>0</v>
      </c>
      <c r="P69" s="5">
        <f>ROUND(Source!EU53,O69)</f>
        <v>0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214</v>
      </c>
      <c r="F70" s="5">
        <f>ROUND(Source!AS53,O70)</f>
        <v>69475</v>
      </c>
      <c r="G70" s="5" t="s">
        <v>118</v>
      </c>
      <c r="H70" s="5" t="s">
        <v>119</v>
      </c>
      <c r="I70" s="5"/>
      <c r="J70" s="5"/>
      <c r="K70" s="5">
        <v>214</v>
      </c>
      <c r="L70" s="5">
        <v>16</v>
      </c>
      <c r="M70" s="5">
        <v>3</v>
      </c>
      <c r="N70" s="5" t="s">
        <v>6</v>
      </c>
      <c r="O70" s="5">
        <v>0</v>
      </c>
      <c r="P70" s="5">
        <f>ROUND(Source!EK53,O70)</f>
        <v>521065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215</v>
      </c>
      <c r="F71" s="5">
        <f>ROUND(Source!AT53,O71)</f>
        <v>1298</v>
      </c>
      <c r="G71" s="5" t="s">
        <v>120</v>
      </c>
      <c r="H71" s="5" t="s">
        <v>121</v>
      </c>
      <c r="I71" s="5"/>
      <c r="J71" s="5"/>
      <c r="K71" s="5">
        <v>215</v>
      </c>
      <c r="L71" s="5">
        <v>17</v>
      </c>
      <c r="M71" s="5">
        <v>3</v>
      </c>
      <c r="N71" s="5" t="s">
        <v>6</v>
      </c>
      <c r="O71" s="5">
        <v>0</v>
      </c>
      <c r="P71" s="5">
        <f>ROUND(Source!EL53,O71)</f>
        <v>21428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217</v>
      </c>
      <c r="F72" s="5">
        <f>ROUND(Source!AU53,O72)</f>
        <v>947</v>
      </c>
      <c r="G72" s="5" t="s">
        <v>122</v>
      </c>
      <c r="H72" s="5" t="s">
        <v>123</v>
      </c>
      <c r="I72" s="5"/>
      <c r="J72" s="5"/>
      <c r="K72" s="5">
        <v>217</v>
      </c>
      <c r="L72" s="5">
        <v>18</v>
      </c>
      <c r="M72" s="5">
        <v>3</v>
      </c>
      <c r="N72" s="5" t="s">
        <v>6</v>
      </c>
      <c r="O72" s="5">
        <v>0</v>
      </c>
      <c r="P72" s="5">
        <f>ROUND(Source!EM53,O72)</f>
        <v>15802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230</v>
      </c>
      <c r="F73" s="5">
        <f>ROUND(Source!BA53,O73)</f>
        <v>0</v>
      </c>
      <c r="G73" s="5" t="s">
        <v>124</v>
      </c>
      <c r="H73" s="5" t="s">
        <v>125</v>
      </c>
      <c r="I73" s="5"/>
      <c r="J73" s="5"/>
      <c r="K73" s="5">
        <v>230</v>
      </c>
      <c r="L73" s="5">
        <v>19</v>
      </c>
      <c r="M73" s="5">
        <v>3</v>
      </c>
      <c r="N73" s="5" t="s">
        <v>6</v>
      </c>
      <c r="O73" s="5">
        <v>0</v>
      </c>
      <c r="P73" s="5">
        <f>ROUND(Source!ES53,O73)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206</v>
      </c>
      <c r="F74" s="5">
        <f>ROUND(Source!T53,O74)</f>
        <v>0</v>
      </c>
      <c r="G74" s="5" t="s">
        <v>126</v>
      </c>
      <c r="H74" s="5" t="s">
        <v>127</v>
      </c>
      <c r="I74" s="5"/>
      <c r="J74" s="5"/>
      <c r="K74" s="5">
        <v>206</v>
      </c>
      <c r="L74" s="5">
        <v>20</v>
      </c>
      <c r="M74" s="5">
        <v>3</v>
      </c>
      <c r="N74" s="5" t="s">
        <v>6</v>
      </c>
      <c r="O74" s="5">
        <v>0</v>
      </c>
      <c r="P74" s="5">
        <f>ROUND(Source!DL53,O74)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207</v>
      </c>
      <c r="F75" s="5">
        <f>Source!U53</f>
        <v>82.703744999999998</v>
      </c>
      <c r="G75" s="5" t="s">
        <v>128</v>
      </c>
      <c r="H75" s="5" t="s">
        <v>129</v>
      </c>
      <c r="I75" s="5"/>
      <c r="J75" s="5"/>
      <c r="K75" s="5">
        <v>207</v>
      </c>
      <c r="L75" s="5">
        <v>21</v>
      </c>
      <c r="M75" s="5">
        <v>3</v>
      </c>
      <c r="N75" s="5" t="s">
        <v>6</v>
      </c>
      <c r="O75" s="5">
        <v>-1</v>
      </c>
      <c r="P75" s="5">
        <f>Source!DM53</f>
        <v>82.703744999999998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208</v>
      </c>
      <c r="F76" s="5">
        <f>Source!V53</f>
        <v>0</v>
      </c>
      <c r="G76" s="5" t="s">
        <v>130</v>
      </c>
      <c r="H76" s="5" t="s">
        <v>131</v>
      </c>
      <c r="I76" s="5"/>
      <c r="J76" s="5"/>
      <c r="K76" s="5">
        <v>208</v>
      </c>
      <c r="L76" s="5">
        <v>22</v>
      </c>
      <c r="M76" s="5">
        <v>3</v>
      </c>
      <c r="N76" s="5" t="s">
        <v>6</v>
      </c>
      <c r="O76" s="5">
        <v>-1</v>
      </c>
      <c r="P76" s="5">
        <f>Source!DN53</f>
        <v>0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209</v>
      </c>
      <c r="F77" s="5">
        <f>ROUND(Source!W53,O77)</f>
        <v>0</v>
      </c>
      <c r="G77" s="5" t="s">
        <v>132</v>
      </c>
      <c r="H77" s="5" t="s">
        <v>133</v>
      </c>
      <c r="I77" s="5"/>
      <c r="J77" s="5"/>
      <c r="K77" s="5">
        <v>209</v>
      </c>
      <c r="L77" s="5">
        <v>23</v>
      </c>
      <c r="M77" s="5">
        <v>3</v>
      </c>
      <c r="N77" s="5" t="s">
        <v>6</v>
      </c>
      <c r="O77" s="5">
        <v>0</v>
      </c>
      <c r="P77" s="5">
        <f>ROUND(Source!DO53,O77)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210</v>
      </c>
      <c r="F78" s="5">
        <f>ROUND(Source!X53,O78)</f>
        <v>732</v>
      </c>
      <c r="G78" s="5" t="s">
        <v>134</v>
      </c>
      <c r="H78" s="5" t="s">
        <v>135</v>
      </c>
      <c r="I78" s="5"/>
      <c r="J78" s="5"/>
      <c r="K78" s="5">
        <v>210</v>
      </c>
      <c r="L78" s="5">
        <v>24</v>
      </c>
      <c r="M78" s="5">
        <v>3</v>
      </c>
      <c r="N78" s="5" t="s">
        <v>6</v>
      </c>
      <c r="O78" s="5">
        <v>0</v>
      </c>
      <c r="P78" s="5">
        <f>ROUND(Source!DP53,O78)</f>
        <v>11394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211</v>
      </c>
      <c r="F79" s="5">
        <f>ROUND(Source!Y53,O79)</f>
        <v>510</v>
      </c>
      <c r="G79" s="5" t="s">
        <v>136</v>
      </c>
      <c r="H79" s="5" t="s">
        <v>137</v>
      </c>
      <c r="I79" s="5"/>
      <c r="J79" s="5"/>
      <c r="K79" s="5">
        <v>211</v>
      </c>
      <c r="L79" s="5">
        <v>25</v>
      </c>
      <c r="M79" s="5">
        <v>3</v>
      </c>
      <c r="N79" s="5" t="s">
        <v>6</v>
      </c>
      <c r="O79" s="5">
        <v>0</v>
      </c>
      <c r="P79" s="5">
        <f>ROUND(Source!DQ53,O79)</f>
        <v>7466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224</v>
      </c>
      <c r="F80" s="5">
        <f>ROUND(Source!AR53,O80)</f>
        <v>71720</v>
      </c>
      <c r="G80" s="5" t="s">
        <v>138</v>
      </c>
      <c r="H80" s="5" t="s">
        <v>139</v>
      </c>
      <c r="I80" s="5"/>
      <c r="J80" s="5"/>
      <c r="K80" s="5">
        <v>224</v>
      </c>
      <c r="L80" s="5">
        <v>26</v>
      </c>
      <c r="M80" s="5">
        <v>3</v>
      </c>
      <c r="N80" s="5" t="s">
        <v>6</v>
      </c>
      <c r="O80" s="5">
        <v>0</v>
      </c>
      <c r="P80" s="5">
        <f>ROUND(Source!EJ53,O80)</f>
        <v>558295</v>
      </c>
      <c r="Q80" s="5"/>
      <c r="R80" s="5"/>
      <c r="S80" s="5"/>
      <c r="T80" s="5"/>
      <c r="U80" s="5"/>
      <c r="V80" s="5"/>
      <c r="W80" s="5"/>
    </row>
    <row r="82" spans="1:206" x14ac:dyDescent="0.2">
      <c r="A82" s="3">
        <v>51</v>
      </c>
      <c r="B82" s="3">
        <f>B12</f>
        <v>145</v>
      </c>
      <c r="C82" s="3">
        <f>A12</f>
        <v>1</v>
      </c>
      <c r="D82" s="3">
        <f>ROW(A12)</f>
        <v>12</v>
      </c>
      <c r="E82" s="3"/>
      <c r="F82" s="3" t="str">
        <f>IF(F12&lt;&gt;"",F12,"")</f>
        <v>Новый объект</v>
      </c>
      <c r="G82" s="3" t="str">
        <f>IF(G12&lt;&gt;"",G12,"")</f>
        <v>СКС</v>
      </c>
      <c r="H82" s="3">
        <v>0</v>
      </c>
      <c r="I82" s="3"/>
      <c r="J82" s="3"/>
      <c r="K82" s="3"/>
      <c r="L82" s="3"/>
      <c r="M82" s="3"/>
      <c r="N82" s="3"/>
      <c r="O82" s="3">
        <f t="shared" ref="O82:T82" si="63">ROUND(O53,0)</f>
        <v>70478</v>
      </c>
      <c r="P82" s="3">
        <f t="shared" si="63"/>
        <v>69475</v>
      </c>
      <c r="Q82" s="3">
        <f t="shared" si="63"/>
        <v>0</v>
      </c>
      <c r="R82" s="3">
        <f t="shared" si="63"/>
        <v>0</v>
      </c>
      <c r="S82" s="3">
        <f t="shared" si="63"/>
        <v>1003</v>
      </c>
      <c r="T82" s="3">
        <f t="shared" si="63"/>
        <v>0</v>
      </c>
      <c r="U82" s="3">
        <f>U53</f>
        <v>82.703744999999998</v>
      </c>
      <c r="V82" s="3">
        <f>V53</f>
        <v>0</v>
      </c>
      <c r="W82" s="3">
        <f>ROUND(W53,0)</f>
        <v>0</v>
      </c>
      <c r="X82" s="3">
        <f>ROUND(X53,0)</f>
        <v>732</v>
      </c>
      <c r="Y82" s="3">
        <f>ROUND(Y53,0)</f>
        <v>510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>
        <f t="shared" ref="AO82:BC82" si="64">ROUND(AO53,0)</f>
        <v>0</v>
      </c>
      <c r="AP82" s="3">
        <f t="shared" si="64"/>
        <v>0</v>
      </c>
      <c r="AQ82" s="3">
        <f t="shared" si="64"/>
        <v>0</v>
      </c>
      <c r="AR82" s="3">
        <f t="shared" si="64"/>
        <v>71720</v>
      </c>
      <c r="AS82" s="3">
        <f t="shared" si="64"/>
        <v>69475</v>
      </c>
      <c r="AT82" s="3">
        <f t="shared" si="64"/>
        <v>1298</v>
      </c>
      <c r="AU82" s="3">
        <f t="shared" si="64"/>
        <v>947</v>
      </c>
      <c r="AV82" s="3">
        <f t="shared" si="64"/>
        <v>69475</v>
      </c>
      <c r="AW82" s="3">
        <f t="shared" si="64"/>
        <v>69475</v>
      </c>
      <c r="AX82" s="3">
        <f t="shared" si="64"/>
        <v>0</v>
      </c>
      <c r="AY82" s="3">
        <f t="shared" si="64"/>
        <v>69475</v>
      </c>
      <c r="AZ82" s="3">
        <f t="shared" si="64"/>
        <v>0</v>
      </c>
      <c r="BA82" s="3">
        <f t="shared" si="64"/>
        <v>0</v>
      </c>
      <c r="BB82" s="3">
        <f t="shared" si="64"/>
        <v>0</v>
      </c>
      <c r="BC82" s="3">
        <f t="shared" si="64"/>
        <v>0</v>
      </c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4">
        <f t="shared" ref="DG82:DL82" si="65">ROUND(DG53,0)</f>
        <v>539435</v>
      </c>
      <c r="DH82" s="4">
        <f t="shared" si="65"/>
        <v>521065</v>
      </c>
      <c r="DI82" s="4">
        <f t="shared" si="65"/>
        <v>0</v>
      </c>
      <c r="DJ82" s="4">
        <f t="shared" si="65"/>
        <v>0</v>
      </c>
      <c r="DK82" s="4">
        <f t="shared" si="65"/>
        <v>18370</v>
      </c>
      <c r="DL82" s="4">
        <f t="shared" si="65"/>
        <v>0</v>
      </c>
      <c r="DM82" s="4">
        <f>DM53</f>
        <v>82.703744999999998</v>
      </c>
      <c r="DN82" s="4">
        <f>DN53</f>
        <v>0</v>
      </c>
      <c r="DO82" s="4">
        <f>ROUND(DO53,0)</f>
        <v>0</v>
      </c>
      <c r="DP82" s="4">
        <f>ROUND(DP53,0)</f>
        <v>11394</v>
      </c>
      <c r="DQ82" s="4">
        <f>ROUND(DQ53,0)</f>
        <v>7466</v>
      </c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>
        <f t="shared" ref="EG82:EU82" si="66">ROUND(EG53,0)</f>
        <v>0</v>
      </c>
      <c r="EH82" s="4">
        <f t="shared" si="66"/>
        <v>0</v>
      </c>
      <c r="EI82" s="4">
        <f t="shared" si="66"/>
        <v>0</v>
      </c>
      <c r="EJ82" s="4">
        <f t="shared" si="66"/>
        <v>558295</v>
      </c>
      <c r="EK82" s="4">
        <f t="shared" si="66"/>
        <v>521065</v>
      </c>
      <c r="EL82" s="4">
        <f t="shared" si="66"/>
        <v>21428</v>
      </c>
      <c r="EM82" s="4">
        <f t="shared" si="66"/>
        <v>15802</v>
      </c>
      <c r="EN82" s="4">
        <f t="shared" si="66"/>
        <v>521065</v>
      </c>
      <c r="EO82" s="4">
        <f t="shared" si="66"/>
        <v>521065</v>
      </c>
      <c r="EP82" s="4">
        <f t="shared" si="66"/>
        <v>0</v>
      </c>
      <c r="EQ82" s="4">
        <f t="shared" si="66"/>
        <v>521065</v>
      </c>
      <c r="ER82" s="4">
        <f t="shared" si="66"/>
        <v>0</v>
      </c>
      <c r="ES82" s="4">
        <f t="shared" si="66"/>
        <v>0</v>
      </c>
      <c r="ET82" s="4">
        <f t="shared" si="66"/>
        <v>0</v>
      </c>
      <c r="EU82" s="4">
        <f t="shared" si="66"/>
        <v>0</v>
      </c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>
        <v>0</v>
      </c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201</v>
      </c>
      <c r="F84" s="5">
        <f>ROUND(Source!O82,O84)</f>
        <v>70478</v>
      </c>
      <c r="G84" s="5" t="s">
        <v>88</v>
      </c>
      <c r="H84" s="5" t="s">
        <v>89</v>
      </c>
      <c r="I84" s="5"/>
      <c r="J84" s="5"/>
      <c r="K84" s="5">
        <v>201</v>
      </c>
      <c r="L84" s="5">
        <v>1</v>
      </c>
      <c r="M84" s="5">
        <v>3</v>
      </c>
      <c r="N84" s="5" t="s">
        <v>6</v>
      </c>
      <c r="O84" s="5">
        <v>0</v>
      </c>
      <c r="P84" s="5">
        <f>ROUND(Source!DG82,O84)</f>
        <v>539435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202</v>
      </c>
      <c r="F85" s="5">
        <f>ROUND(Source!P82,O85)</f>
        <v>69475</v>
      </c>
      <c r="G85" s="5" t="s">
        <v>90</v>
      </c>
      <c r="H85" s="5" t="s">
        <v>91</v>
      </c>
      <c r="I85" s="5"/>
      <c r="J85" s="5"/>
      <c r="K85" s="5">
        <v>202</v>
      </c>
      <c r="L85" s="5">
        <v>2</v>
      </c>
      <c r="M85" s="5">
        <v>3</v>
      </c>
      <c r="N85" s="5" t="s">
        <v>6</v>
      </c>
      <c r="O85" s="5">
        <v>0</v>
      </c>
      <c r="P85" s="5">
        <f>ROUND(Source!DH82,O85)</f>
        <v>521065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222</v>
      </c>
      <c r="F86" s="5">
        <f>ROUND(Source!AO82,O86)</f>
        <v>0</v>
      </c>
      <c r="G86" s="5" t="s">
        <v>92</v>
      </c>
      <c r="H86" s="5" t="s">
        <v>93</v>
      </c>
      <c r="I86" s="5"/>
      <c r="J86" s="5"/>
      <c r="K86" s="5">
        <v>222</v>
      </c>
      <c r="L86" s="5">
        <v>3</v>
      </c>
      <c r="M86" s="5">
        <v>3</v>
      </c>
      <c r="N86" s="5" t="s">
        <v>6</v>
      </c>
      <c r="O86" s="5">
        <v>0</v>
      </c>
      <c r="P86" s="5">
        <f>ROUND(Source!EG82,O86)</f>
        <v>0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225</v>
      </c>
      <c r="F87" s="5">
        <f>ROUND(Source!AV82,O87)</f>
        <v>69475</v>
      </c>
      <c r="G87" s="5" t="s">
        <v>94</v>
      </c>
      <c r="H87" s="5" t="s">
        <v>95</v>
      </c>
      <c r="I87" s="5"/>
      <c r="J87" s="5"/>
      <c r="K87" s="5">
        <v>225</v>
      </c>
      <c r="L87" s="5">
        <v>4</v>
      </c>
      <c r="M87" s="5">
        <v>3</v>
      </c>
      <c r="N87" s="5" t="s">
        <v>6</v>
      </c>
      <c r="O87" s="5">
        <v>0</v>
      </c>
      <c r="P87" s="5">
        <f>ROUND(Source!EN82,O87)</f>
        <v>521065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226</v>
      </c>
      <c r="F88" s="5">
        <f>ROUND(Source!AW82,O88)</f>
        <v>69475</v>
      </c>
      <c r="G88" s="5" t="s">
        <v>96</v>
      </c>
      <c r="H88" s="5" t="s">
        <v>97</v>
      </c>
      <c r="I88" s="5"/>
      <c r="J88" s="5"/>
      <c r="K88" s="5">
        <v>226</v>
      </c>
      <c r="L88" s="5">
        <v>5</v>
      </c>
      <c r="M88" s="5">
        <v>3</v>
      </c>
      <c r="N88" s="5" t="s">
        <v>6</v>
      </c>
      <c r="O88" s="5">
        <v>0</v>
      </c>
      <c r="P88" s="5">
        <f>ROUND(Source!EO82,O88)</f>
        <v>521065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227</v>
      </c>
      <c r="F89" s="5">
        <f>ROUND(Source!AX82,O89)</f>
        <v>0</v>
      </c>
      <c r="G89" s="5" t="s">
        <v>98</v>
      </c>
      <c r="H89" s="5" t="s">
        <v>99</v>
      </c>
      <c r="I89" s="5"/>
      <c r="J89" s="5"/>
      <c r="K89" s="5">
        <v>227</v>
      </c>
      <c r="L89" s="5">
        <v>6</v>
      </c>
      <c r="M89" s="5">
        <v>3</v>
      </c>
      <c r="N89" s="5" t="s">
        <v>6</v>
      </c>
      <c r="O89" s="5">
        <v>0</v>
      </c>
      <c r="P89" s="5">
        <f>ROUND(Source!EP82,O89)</f>
        <v>0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228</v>
      </c>
      <c r="F90" s="5">
        <f>ROUND(Source!AY82,O90)</f>
        <v>69475</v>
      </c>
      <c r="G90" s="5" t="s">
        <v>100</v>
      </c>
      <c r="H90" s="5" t="s">
        <v>101</v>
      </c>
      <c r="I90" s="5"/>
      <c r="J90" s="5"/>
      <c r="K90" s="5">
        <v>228</v>
      </c>
      <c r="L90" s="5">
        <v>7</v>
      </c>
      <c r="M90" s="5">
        <v>3</v>
      </c>
      <c r="N90" s="5" t="s">
        <v>6</v>
      </c>
      <c r="O90" s="5">
        <v>0</v>
      </c>
      <c r="P90" s="5">
        <f>ROUND(Source!EQ82,O90)</f>
        <v>521065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216</v>
      </c>
      <c r="F91" s="5">
        <f>ROUND(Source!AP82,O91)</f>
        <v>0</v>
      </c>
      <c r="G91" s="5" t="s">
        <v>102</v>
      </c>
      <c r="H91" s="5" t="s">
        <v>103</v>
      </c>
      <c r="I91" s="5"/>
      <c r="J91" s="5"/>
      <c r="K91" s="5">
        <v>216</v>
      </c>
      <c r="L91" s="5">
        <v>8</v>
      </c>
      <c r="M91" s="5">
        <v>3</v>
      </c>
      <c r="N91" s="5" t="s">
        <v>6</v>
      </c>
      <c r="O91" s="5">
        <v>0</v>
      </c>
      <c r="P91" s="5">
        <f>ROUND(Source!EH82,O91)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223</v>
      </c>
      <c r="F92" s="5">
        <f>ROUND(Source!AQ82,O92)</f>
        <v>0</v>
      </c>
      <c r="G92" s="5" t="s">
        <v>104</v>
      </c>
      <c r="H92" s="5" t="s">
        <v>105</v>
      </c>
      <c r="I92" s="5"/>
      <c r="J92" s="5"/>
      <c r="K92" s="5">
        <v>223</v>
      </c>
      <c r="L92" s="5">
        <v>9</v>
      </c>
      <c r="M92" s="5">
        <v>3</v>
      </c>
      <c r="N92" s="5" t="s">
        <v>6</v>
      </c>
      <c r="O92" s="5">
        <v>0</v>
      </c>
      <c r="P92" s="5">
        <f>ROUND(Source!EI82,O92)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229</v>
      </c>
      <c r="F93" s="5">
        <f>ROUND(Source!AZ82,O93)</f>
        <v>0</v>
      </c>
      <c r="G93" s="5" t="s">
        <v>106</v>
      </c>
      <c r="H93" s="5" t="s">
        <v>107</v>
      </c>
      <c r="I93" s="5"/>
      <c r="J93" s="5"/>
      <c r="K93" s="5">
        <v>229</v>
      </c>
      <c r="L93" s="5">
        <v>10</v>
      </c>
      <c r="M93" s="5">
        <v>3</v>
      </c>
      <c r="N93" s="5" t="s">
        <v>6</v>
      </c>
      <c r="O93" s="5">
        <v>0</v>
      </c>
      <c r="P93" s="5">
        <f>ROUND(Source!ER82,O93)</f>
        <v>0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203</v>
      </c>
      <c r="F94" s="5">
        <f>ROUND(Source!Q82,O94)</f>
        <v>0</v>
      </c>
      <c r="G94" s="5" t="s">
        <v>108</v>
      </c>
      <c r="H94" s="5" t="s">
        <v>109</v>
      </c>
      <c r="I94" s="5"/>
      <c r="J94" s="5"/>
      <c r="K94" s="5">
        <v>203</v>
      </c>
      <c r="L94" s="5">
        <v>11</v>
      </c>
      <c r="M94" s="5">
        <v>3</v>
      </c>
      <c r="N94" s="5" t="s">
        <v>6</v>
      </c>
      <c r="O94" s="5">
        <v>0</v>
      </c>
      <c r="P94" s="5">
        <f>ROUND(Source!DI82,O94)</f>
        <v>0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231</v>
      </c>
      <c r="F95" s="5">
        <f>ROUND(Source!BB82,O95)</f>
        <v>0</v>
      </c>
      <c r="G95" s="5" t="s">
        <v>110</v>
      </c>
      <c r="H95" s="5" t="s">
        <v>111</v>
      </c>
      <c r="I95" s="5"/>
      <c r="J95" s="5"/>
      <c r="K95" s="5">
        <v>231</v>
      </c>
      <c r="L95" s="5">
        <v>12</v>
      </c>
      <c r="M95" s="5">
        <v>3</v>
      </c>
      <c r="N95" s="5" t="s">
        <v>6</v>
      </c>
      <c r="O95" s="5">
        <v>0</v>
      </c>
      <c r="P95" s="5">
        <f>ROUND(Source!ET82,O95)</f>
        <v>0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204</v>
      </c>
      <c r="F96" s="5">
        <f>ROUND(Source!R82,O96)</f>
        <v>0</v>
      </c>
      <c r="G96" s="5" t="s">
        <v>112</v>
      </c>
      <c r="H96" s="5" t="s">
        <v>113</v>
      </c>
      <c r="I96" s="5"/>
      <c r="J96" s="5"/>
      <c r="K96" s="5">
        <v>204</v>
      </c>
      <c r="L96" s="5">
        <v>13</v>
      </c>
      <c r="M96" s="5">
        <v>3</v>
      </c>
      <c r="N96" s="5" t="s">
        <v>6</v>
      </c>
      <c r="O96" s="5">
        <v>0</v>
      </c>
      <c r="P96" s="5">
        <f>ROUND(Source!DJ82,O96)</f>
        <v>0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205</v>
      </c>
      <c r="F97" s="5">
        <f>ROUND(Source!S82,O97)</f>
        <v>1003</v>
      </c>
      <c r="G97" s="5" t="s">
        <v>114</v>
      </c>
      <c r="H97" s="5" t="s">
        <v>115</v>
      </c>
      <c r="I97" s="5"/>
      <c r="J97" s="5"/>
      <c r="K97" s="5">
        <v>205</v>
      </c>
      <c r="L97" s="5">
        <v>14</v>
      </c>
      <c r="M97" s="5">
        <v>3</v>
      </c>
      <c r="N97" s="5" t="s">
        <v>6</v>
      </c>
      <c r="O97" s="5">
        <v>0</v>
      </c>
      <c r="P97" s="5">
        <f>ROUND(Source!DK82,O97)</f>
        <v>18370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232</v>
      </c>
      <c r="F98" s="5">
        <f>ROUND(Source!BC82,O98)</f>
        <v>0</v>
      </c>
      <c r="G98" s="5" t="s">
        <v>116</v>
      </c>
      <c r="H98" s="5" t="s">
        <v>117</v>
      </c>
      <c r="I98" s="5"/>
      <c r="J98" s="5"/>
      <c r="K98" s="5">
        <v>232</v>
      </c>
      <c r="L98" s="5">
        <v>15</v>
      </c>
      <c r="M98" s="5">
        <v>3</v>
      </c>
      <c r="N98" s="5" t="s">
        <v>6</v>
      </c>
      <c r="O98" s="5">
        <v>0</v>
      </c>
      <c r="P98" s="5">
        <f>ROUND(Source!EU82,O98)</f>
        <v>0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214</v>
      </c>
      <c r="F99" s="5">
        <f>ROUND(Source!AS82,O99)</f>
        <v>69475</v>
      </c>
      <c r="G99" s="5" t="s">
        <v>118</v>
      </c>
      <c r="H99" s="5" t="s">
        <v>119</v>
      </c>
      <c r="I99" s="5"/>
      <c r="J99" s="5"/>
      <c r="K99" s="5">
        <v>214</v>
      </c>
      <c r="L99" s="5">
        <v>16</v>
      </c>
      <c r="M99" s="5">
        <v>3</v>
      </c>
      <c r="N99" s="5" t="s">
        <v>6</v>
      </c>
      <c r="O99" s="5">
        <v>0</v>
      </c>
      <c r="P99" s="5">
        <f>ROUND(Source!EK82,O99)</f>
        <v>521065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215</v>
      </c>
      <c r="F100" s="5">
        <f>ROUND(Source!AT82,O100)</f>
        <v>1298</v>
      </c>
      <c r="G100" s="5" t="s">
        <v>120</v>
      </c>
      <c r="H100" s="5" t="s">
        <v>121</v>
      </c>
      <c r="I100" s="5"/>
      <c r="J100" s="5"/>
      <c r="K100" s="5">
        <v>215</v>
      </c>
      <c r="L100" s="5">
        <v>17</v>
      </c>
      <c r="M100" s="5">
        <v>3</v>
      </c>
      <c r="N100" s="5" t="s">
        <v>6</v>
      </c>
      <c r="O100" s="5">
        <v>0</v>
      </c>
      <c r="P100" s="5">
        <f>ROUND(Source!EL82,O100)</f>
        <v>21428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217</v>
      </c>
      <c r="F101" s="5">
        <f>ROUND(Source!AU82,O101)</f>
        <v>947</v>
      </c>
      <c r="G101" s="5" t="s">
        <v>122</v>
      </c>
      <c r="H101" s="5" t="s">
        <v>123</v>
      </c>
      <c r="I101" s="5"/>
      <c r="J101" s="5"/>
      <c r="K101" s="5">
        <v>217</v>
      </c>
      <c r="L101" s="5">
        <v>18</v>
      </c>
      <c r="M101" s="5">
        <v>3</v>
      </c>
      <c r="N101" s="5" t="s">
        <v>6</v>
      </c>
      <c r="O101" s="5">
        <v>0</v>
      </c>
      <c r="P101" s="5">
        <f>ROUND(Source!EM82,O101)</f>
        <v>15802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230</v>
      </c>
      <c r="F102" s="5">
        <f>ROUND(Source!BA82,O102)</f>
        <v>0</v>
      </c>
      <c r="G102" s="5" t="s">
        <v>124</v>
      </c>
      <c r="H102" s="5" t="s">
        <v>125</v>
      </c>
      <c r="I102" s="5"/>
      <c r="J102" s="5"/>
      <c r="K102" s="5">
        <v>230</v>
      </c>
      <c r="L102" s="5">
        <v>19</v>
      </c>
      <c r="M102" s="5">
        <v>3</v>
      </c>
      <c r="N102" s="5" t="s">
        <v>6</v>
      </c>
      <c r="O102" s="5">
        <v>0</v>
      </c>
      <c r="P102" s="5">
        <f>ROUND(Source!ES82,O102)</f>
        <v>0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206</v>
      </c>
      <c r="F103" s="5">
        <f>ROUND(Source!T82,O103)</f>
        <v>0</v>
      </c>
      <c r="G103" s="5" t="s">
        <v>126</v>
      </c>
      <c r="H103" s="5" t="s">
        <v>127</v>
      </c>
      <c r="I103" s="5"/>
      <c r="J103" s="5"/>
      <c r="K103" s="5">
        <v>206</v>
      </c>
      <c r="L103" s="5">
        <v>20</v>
      </c>
      <c r="M103" s="5">
        <v>3</v>
      </c>
      <c r="N103" s="5" t="s">
        <v>6</v>
      </c>
      <c r="O103" s="5">
        <v>0</v>
      </c>
      <c r="P103" s="5">
        <f>ROUND(Source!DL82,O103)</f>
        <v>0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207</v>
      </c>
      <c r="F104" s="5">
        <f>Source!U82</f>
        <v>82.703744999999998</v>
      </c>
      <c r="G104" s="5" t="s">
        <v>128</v>
      </c>
      <c r="H104" s="5" t="s">
        <v>129</v>
      </c>
      <c r="I104" s="5"/>
      <c r="J104" s="5"/>
      <c r="K104" s="5">
        <v>207</v>
      </c>
      <c r="L104" s="5">
        <v>21</v>
      </c>
      <c r="M104" s="5">
        <v>3</v>
      </c>
      <c r="N104" s="5" t="s">
        <v>6</v>
      </c>
      <c r="O104" s="5">
        <v>-1</v>
      </c>
      <c r="P104" s="5">
        <f>Source!DM82</f>
        <v>82.703744999999998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208</v>
      </c>
      <c r="F105" s="5">
        <f>Source!V82</f>
        <v>0</v>
      </c>
      <c r="G105" s="5" t="s">
        <v>130</v>
      </c>
      <c r="H105" s="5" t="s">
        <v>131</v>
      </c>
      <c r="I105" s="5"/>
      <c r="J105" s="5"/>
      <c r="K105" s="5">
        <v>208</v>
      </c>
      <c r="L105" s="5">
        <v>22</v>
      </c>
      <c r="M105" s="5">
        <v>3</v>
      </c>
      <c r="N105" s="5" t="s">
        <v>6</v>
      </c>
      <c r="O105" s="5">
        <v>-1</v>
      </c>
      <c r="P105" s="5">
        <f>Source!DN82</f>
        <v>0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209</v>
      </c>
      <c r="F106" s="5">
        <f>ROUND(Source!W82,O106)</f>
        <v>0</v>
      </c>
      <c r="G106" s="5" t="s">
        <v>132</v>
      </c>
      <c r="H106" s="5" t="s">
        <v>133</v>
      </c>
      <c r="I106" s="5"/>
      <c r="J106" s="5"/>
      <c r="K106" s="5">
        <v>209</v>
      </c>
      <c r="L106" s="5">
        <v>23</v>
      </c>
      <c r="M106" s="5">
        <v>3</v>
      </c>
      <c r="N106" s="5" t="s">
        <v>6</v>
      </c>
      <c r="O106" s="5">
        <v>0</v>
      </c>
      <c r="P106" s="5">
        <f>ROUND(Source!DO82,O106)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210</v>
      </c>
      <c r="F107" s="5">
        <f>ROUND(Source!X82,O107)</f>
        <v>732</v>
      </c>
      <c r="G107" s="5" t="s">
        <v>134</v>
      </c>
      <c r="H107" s="5" t="s">
        <v>135</v>
      </c>
      <c r="I107" s="5"/>
      <c r="J107" s="5"/>
      <c r="K107" s="5">
        <v>210</v>
      </c>
      <c r="L107" s="5">
        <v>24</v>
      </c>
      <c r="M107" s="5">
        <v>3</v>
      </c>
      <c r="N107" s="5" t="s">
        <v>6</v>
      </c>
      <c r="O107" s="5">
        <v>0</v>
      </c>
      <c r="P107" s="5">
        <f>ROUND(Source!DP82,O107)</f>
        <v>11394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211</v>
      </c>
      <c r="F108" s="5">
        <f>ROUND(Source!Y82,O108)</f>
        <v>510</v>
      </c>
      <c r="G108" s="5" t="s">
        <v>136</v>
      </c>
      <c r="H108" s="5" t="s">
        <v>137</v>
      </c>
      <c r="I108" s="5"/>
      <c r="J108" s="5"/>
      <c r="K108" s="5">
        <v>211</v>
      </c>
      <c r="L108" s="5">
        <v>25</v>
      </c>
      <c r="M108" s="5">
        <v>3</v>
      </c>
      <c r="N108" s="5" t="s">
        <v>6</v>
      </c>
      <c r="O108" s="5">
        <v>0</v>
      </c>
      <c r="P108" s="5">
        <f>ROUND(Source!DQ82,O108)</f>
        <v>7466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224</v>
      </c>
      <c r="F109" s="5">
        <f>ROUND(Source!AR82,O109)</f>
        <v>71720</v>
      </c>
      <c r="G109" s="5" t="s">
        <v>138</v>
      </c>
      <c r="H109" s="5" t="s">
        <v>139</v>
      </c>
      <c r="I109" s="5"/>
      <c r="J109" s="5"/>
      <c r="K109" s="5">
        <v>224</v>
      </c>
      <c r="L109" s="5">
        <v>26</v>
      </c>
      <c r="M109" s="5">
        <v>3</v>
      </c>
      <c r="N109" s="5" t="s">
        <v>6</v>
      </c>
      <c r="O109" s="5">
        <v>0</v>
      </c>
      <c r="P109" s="5">
        <f>ROUND(Source!EJ82,O109)</f>
        <v>558295</v>
      </c>
      <c r="Q109" s="5"/>
      <c r="R109" s="5"/>
      <c r="S109" s="5"/>
      <c r="T109" s="5"/>
      <c r="U109" s="5"/>
      <c r="V109" s="5"/>
      <c r="W109" s="5"/>
    </row>
    <row r="112" spans="1:23" x14ac:dyDescent="0.2">
      <c r="A112">
        <v>70</v>
      </c>
      <c r="B112">
        <v>1</v>
      </c>
      <c r="D112">
        <v>1</v>
      </c>
      <c r="E112" t="s">
        <v>140</v>
      </c>
      <c r="F112" t="s">
        <v>141</v>
      </c>
      <c r="G112">
        <v>1</v>
      </c>
      <c r="H112">
        <v>0</v>
      </c>
      <c r="I112" t="s">
        <v>142</v>
      </c>
      <c r="J112">
        <v>0</v>
      </c>
      <c r="K112">
        <v>0</v>
      </c>
      <c r="L112" t="s">
        <v>6</v>
      </c>
      <c r="M112" t="s">
        <v>6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2</v>
      </c>
      <c r="E113" t="s">
        <v>143</v>
      </c>
      <c r="F113" t="s">
        <v>144</v>
      </c>
      <c r="G113">
        <v>0</v>
      </c>
      <c r="H113">
        <v>0</v>
      </c>
      <c r="I113" t="s">
        <v>142</v>
      </c>
      <c r="J113">
        <v>0</v>
      </c>
      <c r="K113">
        <v>0</v>
      </c>
      <c r="L113" t="s">
        <v>6</v>
      </c>
      <c r="M113" t="s">
        <v>6</v>
      </c>
      <c r="N113">
        <v>0</v>
      </c>
      <c r="O113">
        <v>0</v>
      </c>
    </row>
    <row r="114" spans="1:15" x14ac:dyDescent="0.2">
      <c r="A114">
        <v>70</v>
      </c>
      <c r="B114">
        <v>1</v>
      </c>
      <c r="D114">
        <v>3</v>
      </c>
      <c r="E114" t="s">
        <v>145</v>
      </c>
      <c r="F114" t="s">
        <v>146</v>
      </c>
      <c r="G114">
        <v>0</v>
      </c>
      <c r="H114">
        <v>0</v>
      </c>
      <c r="I114" t="s">
        <v>142</v>
      </c>
      <c r="J114">
        <v>0</v>
      </c>
      <c r="K114">
        <v>0</v>
      </c>
      <c r="L114" t="s">
        <v>6</v>
      </c>
      <c r="M114" t="s">
        <v>6</v>
      </c>
      <c r="N114">
        <v>0</v>
      </c>
      <c r="O114">
        <v>0</v>
      </c>
    </row>
    <row r="115" spans="1:15" x14ac:dyDescent="0.2">
      <c r="A115">
        <v>70</v>
      </c>
      <c r="B115">
        <v>1</v>
      </c>
      <c r="D115">
        <v>4</v>
      </c>
      <c r="E115" t="s">
        <v>147</v>
      </c>
      <c r="F115" t="s">
        <v>148</v>
      </c>
      <c r="G115">
        <v>0</v>
      </c>
      <c r="H115">
        <v>0</v>
      </c>
      <c r="I115" t="s">
        <v>142</v>
      </c>
      <c r="J115">
        <v>0</v>
      </c>
      <c r="K115">
        <v>0</v>
      </c>
      <c r="L115" t="s">
        <v>6</v>
      </c>
      <c r="M115" t="s">
        <v>6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5</v>
      </c>
      <c r="E116" t="s">
        <v>149</v>
      </c>
      <c r="F116" t="s">
        <v>150</v>
      </c>
      <c r="G116">
        <v>0</v>
      </c>
      <c r="H116">
        <v>0</v>
      </c>
      <c r="I116" t="s">
        <v>142</v>
      </c>
      <c r="J116">
        <v>0</v>
      </c>
      <c r="K116">
        <v>0</v>
      </c>
      <c r="L116" t="s">
        <v>6</v>
      </c>
      <c r="M116" t="s">
        <v>6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6</v>
      </c>
      <c r="E117" t="s">
        <v>151</v>
      </c>
      <c r="F117" t="s">
        <v>152</v>
      </c>
      <c r="G117">
        <v>0</v>
      </c>
      <c r="H117">
        <v>0</v>
      </c>
      <c r="I117" t="s">
        <v>142</v>
      </c>
      <c r="J117">
        <v>0</v>
      </c>
      <c r="K117">
        <v>0</v>
      </c>
      <c r="L117" t="s">
        <v>6</v>
      </c>
      <c r="M117" t="s">
        <v>6</v>
      </c>
      <c r="N117">
        <v>0</v>
      </c>
      <c r="O117">
        <v>0</v>
      </c>
    </row>
    <row r="118" spans="1:15" x14ac:dyDescent="0.2">
      <c r="A118">
        <v>70</v>
      </c>
      <c r="B118">
        <v>1</v>
      </c>
      <c r="D118">
        <v>7</v>
      </c>
      <c r="E118" t="s">
        <v>153</v>
      </c>
      <c r="F118" t="s">
        <v>154</v>
      </c>
      <c r="G118">
        <v>0</v>
      </c>
      <c r="H118">
        <v>0</v>
      </c>
      <c r="I118" t="s">
        <v>142</v>
      </c>
      <c r="J118">
        <v>0</v>
      </c>
      <c r="K118">
        <v>0</v>
      </c>
      <c r="L118" t="s">
        <v>6</v>
      </c>
      <c r="M118" t="s">
        <v>6</v>
      </c>
      <c r="N118">
        <v>0</v>
      </c>
      <c r="O118">
        <v>0</v>
      </c>
    </row>
    <row r="119" spans="1:15" x14ac:dyDescent="0.2">
      <c r="A119">
        <v>70</v>
      </c>
      <c r="B119">
        <v>1</v>
      </c>
      <c r="D119">
        <v>8</v>
      </c>
      <c r="E119" t="s">
        <v>155</v>
      </c>
      <c r="F119" t="s">
        <v>156</v>
      </c>
      <c r="G119">
        <v>0</v>
      </c>
      <c r="H119">
        <v>0</v>
      </c>
      <c r="I119" t="s">
        <v>142</v>
      </c>
      <c r="J119">
        <v>0</v>
      </c>
      <c r="K119">
        <v>0</v>
      </c>
      <c r="L119" t="s">
        <v>6</v>
      </c>
      <c r="M119" t="s">
        <v>6</v>
      </c>
      <c r="N119">
        <v>0</v>
      </c>
      <c r="O119">
        <v>0</v>
      </c>
    </row>
    <row r="120" spans="1:15" x14ac:dyDescent="0.2">
      <c r="A120">
        <v>70</v>
      </c>
      <c r="B120">
        <v>1</v>
      </c>
      <c r="D120">
        <v>9</v>
      </c>
      <c r="E120" t="s">
        <v>157</v>
      </c>
      <c r="F120" t="s">
        <v>158</v>
      </c>
      <c r="G120">
        <v>0</v>
      </c>
      <c r="H120">
        <v>0</v>
      </c>
      <c r="I120" t="s">
        <v>142</v>
      </c>
      <c r="J120">
        <v>0</v>
      </c>
      <c r="K120">
        <v>0</v>
      </c>
      <c r="L120" t="s">
        <v>6</v>
      </c>
      <c r="M120" t="s">
        <v>6</v>
      </c>
      <c r="N120">
        <v>0</v>
      </c>
      <c r="O120">
        <v>0</v>
      </c>
    </row>
    <row r="121" spans="1:15" x14ac:dyDescent="0.2">
      <c r="A121">
        <v>70</v>
      </c>
      <c r="B121">
        <v>1</v>
      </c>
      <c r="D121">
        <v>1</v>
      </c>
      <c r="E121" t="s">
        <v>159</v>
      </c>
      <c r="F121" t="s">
        <v>160</v>
      </c>
      <c r="G121">
        <v>1</v>
      </c>
      <c r="H121">
        <v>1</v>
      </c>
      <c r="I121" t="s">
        <v>142</v>
      </c>
      <c r="J121">
        <v>0</v>
      </c>
      <c r="K121">
        <v>0</v>
      </c>
      <c r="L121" t="s">
        <v>6</v>
      </c>
      <c r="M121" t="s">
        <v>6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</v>
      </c>
      <c r="E122" t="s">
        <v>161</v>
      </c>
      <c r="F122" t="s">
        <v>162</v>
      </c>
      <c r="G122">
        <v>1</v>
      </c>
      <c r="H122">
        <v>1</v>
      </c>
      <c r="I122" t="s">
        <v>142</v>
      </c>
      <c r="J122">
        <v>0</v>
      </c>
      <c r="K122">
        <v>0</v>
      </c>
      <c r="L122" t="s">
        <v>6</v>
      </c>
      <c r="M122" t="s">
        <v>6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3</v>
      </c>
      <c r="E123" t="s">
        <v>163</v>
      </c>
      <c r="F123" t="s">
        <v>164</v>
      </c>
      <c r="G123">
        <v>1</v>
      </c>
      <c r="H123">
        <v>0</v>
      </c>
      <c r="I123" t="s">
        <v>142</v>
      </c>
      <c r="J123">
        <v>0</v>
      </c>
      <c r="K123">
        <v>0</v>
      </c>
      <c r="L123" t="s">
        <v>6</v>
      </c>
      <c r="M123" t="s">
        <v>6</v>
      </c>
      <c r="N123">
        <v>0</v>
      </c>
      <c r="O123">
        <v>1</v>
      </c>
    </row>
    <row r="124" spans="1:15" x14ac:dyDescent="0.2">
      <c r="A124">
        <v>70</v>
      </c>
      <c r="B124">
        <v>1</v>
      </c>
      <c r="D124">
        <v>4</v>
      </c>
      <c r="E124" t="s">
        <v>165</v>
      </c>
      <c r="F124" t="s">
        <v>166</v>
      </c>
      <c r="G124">
        <v>1</v>
      </c>
      <c r="H124">
        <v>0</v>
      </c>
      <c r="I124" t="s">
        <v>142</v>
      </c>
      <c r="J124">
        <v>0</v>
      </c>
      <c r="K124">
        <v>0</v>
      </c>
      <c r="L124" t="s">
        <v>6</v>
      </c>
      <c r="M124" t="s">
        <v>6</v>
      </c>
      <c r="N124">
        <v>0</v>
      </c>
      <c r="O124">
        <v>1</v>
      </c>
    </row>
    <row r="125" spans="1:15" x14ac:dyDescent="0.2">
      <c r="A125">
        <v>70</v>
      </c>
      <c r="B125">
        <v>1</v>
      </c>
      <c r="D125">
        <v>5</v>
      </c>
      <c r="E125" t="s">
        <v>167</v>
      </c>
      <c r="F125" t="s">
        <v>168</v>
      </c>
      <c r="G125">
        <v>1</v>
      </c>
      <c r="H125">
        <v>0</v>
      </c>
      <c r="I125" t="s">
        <v>142</v>
      </c>
      <c r="J125">
        <v>0</v>
      </c>
      <c r="K125">
        <v>0</v>
      </c>
      <c r="L125" t="s">
        <v>6</v>
      </c>
      <c r="M125" t="s">
        <v>6</v>
      </c>
      <c r="N125">
        <v>0</v>
      </c>
      <c r="O125">
        <v>0.85</v>
      </c>
    </row>
    <row r="126" spans="1:15" x14ac:dyDescent="0.2">
      <c r="A126">
        <v>70</v>
      </c>
      <c r="B126">
        <v>1</v>
      </c>
      <c r="D126">
        <v>6</v>
      </c>
      <c r="E126" t="s">
        <v>169</v>
      </c>
      <c r="F126" t="s">
        <v>170</v>
      </c>
      <c r="G126">
        <v>1</v>
      </c>
      <c r="H126">
        <v>0</v>
      </c>
      <c r="I126" t="s">
        <v>142</v>
      </c>
      <c r="J126">
        <v>0</v>
      </c>
      <c r="K126">
        <v>0</v>
      </c>
      <c r="L126" t="s">
        <v>6</v>
      </c>
      <c r="M126" t="s">
        <v>6</v>
      </c>
      <c r="N126">
        <v>0</v>
      </c>
      <c r="O126">
        <v>0.8</v>
      </c>
    </row>
    <row r="127" spans="1:15" x14ac:dyDescent="0.2">
      <c r="A127">
        <v>70</v>
      </c>
      <c r="B127">
        <v>1</v>
      </c>
      <c r="D127">
        <v>7</v>
      </c>
      <c r="E127" t="s">
        <v>171</v>
      </c>
      <c r="F127" t="s">
        <v>172</v>
      </c>
      <c r="G127">
        <v>1</v>
      </c>
      <c r="H127">
        <v>0</v>
      </c>
      <c r="I127" t="s">
        <v>142</v>
      </c>
      <c r="J127">
        <v>0</v>
      </c>
      <c r="K127">
        <v>0</v>
      </c>
      <c r="L127" t="s">
        <v>6</v>
      </c>
      <c r="M127" t="s">
        <v>6</v>
      </c>
      <c r="N127">
        <v>0</v>
      </c>
      <c r="O127">
        <v>1</v>
      </c>
    </row>
    <row r="128" spans="1:15" x14ac:dyDescent="0.2">
      <c r="A128">
        <v>70</v>
      </c>
      <c r="B128">
        <v>1</v>
      </c>
      <c r="D128">
        <v>8</v>
      </c>
      <c r="E128" t="s">
        <v>173</v>
      </c>
      <c r="F128" t="s">
        <v>174</v>
      </c>
      <c r="G128">
        <v>1</v>
      </c>
      <c r="H128">
        <v>0.8</v>
      </c>
      <c r="I128" t="s">
        <v>142</v>
      </c>
      <c r="J128">
        <v>0</v>
      </c>
      <c r="K128">
        <v>0</v>
      </c>
      <c r="L128" t="s">
        <v>6</v>
      </c>
      <c r="M128" t="s">
        <v>6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9</v>
      </c>
      <c r="E129" t="s">
        <v>175</v>
      </c>
      <c r="F129" t="s">
        <v>176</v>
      </c>
      <c r="G129">
        <v>1</v>
      </c>
      <c r="H129">
        <v>0.85</v>
      </c>
      <c r="I129" t="s">
        <v>142</v>
      </c>
      <c r="J129">
        <v>0</v>
      </c>
      <c r="K129">
        <v>0</v>
      </c>
      <c r="L129" t="s">
        <v>6</v>
      </c>
      <c r="M129" t="s">
        <v>6</v>
      </c>
      <c r="N129">
        <v>0</v>
      </c>
      <c r="O129">
        <v>1</v>
      </c>
    </row>
    <row r="130" spans="1:15" x14ac:dyDescent="0.2">
      <c r="A130">
        <v>70</v>
      </c>
      <c r="B130">
        <v>1</v>
      </c>
      <c r="D130">
        <v>10</v>
      </c>
      <c r="E130" t="s">
        <v>177</v>
      </c>
      <c r="F130" t="s">
        <v>178</v>
      </c>
      <c r="G130">
        <v>1</v>
      </c>
      <c r="H130">
        <v>0</v>
      </c>
      <c r="I130" t="s">
        <v>142</v>
      </c>
      <c r="J130">
        <v>0</v>
      </c>
      <c r="K130">
        <v>0</v>
      </c>
      <c r="L130" t="s">
        <v>6</v>
      </c>
      <c r="M130" t="s">
        <v>6</v>
      </c>
      <c r="N130">
        <v>0</v>
      </c>
      <c r="O130">
        <v>1</v>
      </c>
    </row>
    <row r="131" spans="1:15" x14ac:dyDescent="0.2">
      <c r="A131">
        <v>70</v>
      </c>
      <c r="B131">
        <v>1</v>
      </c>
      <c r="D131">
        <v>11</v>
      </c>
      <c r="E131" t="s">
        <v>179</v>
      </c>
      <c r="F131" t="s">
        <v>180</v>
      </c>
      <c r="G131">
        <v>1</v>
      </c>
      <c r="H131">
        <v>0</v>
      </c>
      <c r="I131" t="s">
        <v>142</v>
      </c>
      <c r="J131">
        <v>0</v>
      </c>
      <c r="K131">
        <v>0</v>
      </c>
      <c r="L131" t="s">
        <v>6</v>
      </c>
      <c r="M131" t="s">
        <v>6</v>
      </c>
      <c r="N131">
        <v>0</v>
      </c>
      <c r="O131">
        <v>0.94</v>
      </c>
    </row>
    <row r="132" spans="1:15" x14ac:dyDescent="0.2">
      <c r="A132">
        <v>70</v>
      </c>
      <c r="B132">
        <v>1</v>
      </c>
      <c r="D132">
        <v>12</v>
      </c>
      <c r="E132" t="s">
        <v>181</v>
      </c>
      <c r="F132" t="s">
        <v>182</v>
      </c>
      <c r="G132">
        <v>1</v>
      </c>
      <c r="H132">
        <v>0</v>
      </c>
      <c r="I132" t="s">
        <v>142</v>
      </c>
      <c r="J132">
        <v>0</v>
      </c>
      <c r="K132">
        <v>0</v>
      </c>
      <c r="L132" t="s">
        <v>6</v>
      </c>
      <c r="M132" t="s">
        <v>6</v>
      </c>
      <c r="N132">
        <v>0</v>
      </c>
      <c r="O132">
        <v>0.9</v>
      </c>
    </row>
    <row r="133" spans="1:15" x14ac:dyDescent="0.2">
      <c r="A133">
        <v>70</v>
      </c>
      <c r="B133">
        <v>1</v>
      </c>
      <c r="D133">
        <v>13</v>
      </c>
      <c r="E133" t="s">
        <v>183</v>
      </c>
      <c r="F133" t="s">
        <v>184</v>
      </c>
      <c r="G133">
        <v>0.6</v>
      </c>
      <c r="H133">
        <v>0</v>
      </c>
      <c r="I133" t="s">
        <v>142</v>
      </c>
      <c r="J133">
        <v>0</v>
      </c>
      <c r="K133">
        <v>0</v>
      </c>
      <c r="L133" t="s">
        <v>6</v>
      </c>
      <c r="M133" t="s">
        <v>6</v>
      </c>
      <c r="N133">
        <v>0</v>
      </c>
      <c r="O133">
        <v>0.6</v>
      </c>
    </row>
    <row r="134" spans="1:15" x14ac:dyDescent="0.2">
      <c r="A134">
        <v>70</v>
      </c>
      <c r="B134">
        <v>1</v>
      </c>
      <c r="D134">
        <v>14</v>
      </c>
      <c r="E134" t="s">
        <v>185</v>
      </c>
      <c r="F134" t="s">
        <v>186</v>
      </c>
      <c r="G134">
        <v>1</v>
      </c>
      <c r="H134">
        <v>0</v>
      </c>
      <c r="I134" t="s">
        <v>142</v>
      </c>
      <c r="J134">
        <v>0</v>
      </c>
      <c r="K134">
        <v>0</v>
      </c>
      <c r="L134" t="s">
        <v>6</v>
      </c>
      <c r="M134" t="s">
        <v>6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15</v>
      </c>
      <c r="E135" t="s">
        <v>187</v>
      </c>
      <c r="F135" t="s">
        <v>188</v>
      </c>
      <c r="G135">
        <v>1.2</v>
      </c>
      <c r="H135">
        <v>0</v>
      </c>
      <c r="I135" t="s">
        <v>142</v>
      </c>
      <c r="J135">
        <v>0</v>
      </c>
      <c r="K135">
        <v>0</v>
      </c>
      <c r="L135" t="s">
        <v>6</v>
      </c>
      <c r="M135" t="s">
        <v>6</v>
      </c>
      <c r="N135">
        <v>0</v>
      </c>
      <c r="O135">
        <v>1.2</v>
      </c>
    </row>
    <row r="136" spans="1:15" x14ac:dyDescent="0.2">
      <c r="A136">
        <v>70</v>
      </c>
      <c r="B136">
        <v>1</v>
      </c>
      <c r="D136">
        <v>16</v>
      </c>
      <c r="E136" t="s">
        <v>189</v>
      </c>
      <c r="F136" t="s">
        <v>190</v>
      </c>
      <c r="G136">
        <v>1</v>
      </c>
      <c r="H136">
        <v>0</v>
      </c>
      <c r="I136" t="s">
        <v>142</v>
      </c>
      <c r="J136">
        <v>0</v>
      </c>
      <c r="K136">
        <v>0</v>
      </c>
      <c r="L136" t="s">
        <v>6</v>
      </c>
      <c r="M136" t="s">
        <v>6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17</v>
      </c>
      <c r="E137" t="s">
        <v>191</v>
      </c>
      <c r="F137" t="s">
        <v>192</v>
      </c>
      <c r="G137">
        <v>1</v>
      </c>
      <c r="H137">
        <v>0</v>
      </c>
      <c r="I137" t="s">
        <v>142</v>
      </c>
      <c r="J137">
        <v>0</v>
      </c>
      <c r="K137">
        <v>0</v>
      </c>
      <c r="L137" t="s">
        <v>6</v>
      </c>
      <c r="M137" t="s">
        <v>6</v>
      </c>
      <c r="N137">
        <v>0</v>
      </c>
      <c r="O137">
        <v>1</v>
      </c>
    </row>
    <row r="138" spans="1:15" x14ac:dyDescent="0.2">
      <c r="A138">
        <v>70</v>
      </c>
      <c r="B138">
        <v>1</v>
      </c>
      <c r="D138">
        <v>18</v>
      </c>
      <c r="E138" t="s">
        <v>193</v>
      </c>
      <c r="F138" t="s">
        <v>194</v>
      </c>
      <c r="G138">
        <v>1</v>
      </c>
      <c r="H138">
        <v>0</v>
      </c>
      <c r="I138" t="s">
        <v>142</v>
      </c>
      <c r="J138">
        <v>0</v>
      </c>
      <c r="K138">
        <v>0</v>
      </c>
      <c r="L138" t="s">
        <v>6</v>
      </c>
      <c r="M138" t="s">
        <v>6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19</v>
      </c>
      <c r="E139" t="s">
        <v>195</v>
      </c>
      <c r="F139" t="s">
        <v>192</v>
      </c>
      <c r="G139">
        <v>1</v>
      </c>
      <c r="H139">
        <v>0</v>
      </c>
      <c r="I139" t="s">
        <v>142</v>
      </c>
      <c r="J139">
        <v>0</v>
      </c>
      <c r="K139">
        <v>0</v>
      </c>
      <c r="L139" t="s">
        <v>6</v>
      </c>
      <c r="M139" t="s">
        <v>6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20</v>
      </c>
      <c r="E140" t="s">
        <v>196</v>
      </c>
      <c r="F140" t="s">
        <v>194</v>
      </c>
      <c r="G140">
        <v>1</v>
      </c>
      <c r="H140">
        <v>0</v>
      </c>
      <c r="I140" t="s">
        <v>142</v>
      </c>
      <c r="J140">
        <v>0</v>
      </c>
      <c r="K140">
        <v>0</v>
      </c>
      <c r="L140" t="s">
        <v>6</v>
      </c>
      <c r="M140" t="s">
        <v>6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21</v>
      </c>
      <c r="E141" t="s">
        <v>197</v>
      </c>
      <c r="F141" t="s">
        <v>198</v>
      </c>
      <c r="G141">
        <v>0</v>
      </c>
      <c r="H141">
        <v>0</v>
      </c>
      <c r="I141" t="s">
        <v>142</v>
      </c>
      <c r="J141">
        <v>0</v>
      </c>
      <c r="K141">
        <v>0</v>
      </c>
      <c r="L141" t="s">
        <v>6</v>
      </c>
      <c r="M141" t="s">
        <v>6</v>
      </c>
      <c r="N141">
        <v>0</v>
      </c>
      <c r="O141">
        <v>0</v>
      </c>
    </row>
    <row r="143" spans="1:15" x14ac:dyDescent="0.2">
      <c r="A143">
        <v>-1</v>
      </c>
    </row>
    <row r="145" spans="1:34" x14ac:dyDescent="0.2">
      <c r="A145" s="4">
        <v>75</v>
      </c>
      <c r="B145" s="4" t="s">
        <v>199</v>
      </c>
      <c r="C145" s="4">
        <v>2000</v>
      </c>
      <c r="D145" s="4">
        <v>0</v>
      </c>
      <c r="E145" s="4">
        <v>1</v>
      </c>
      <c r="F145" s="4">
        <v>0</v>
      </c>
      <c r="G145" s="4">
        <v>0</v>
      </c>
      <c r="H145" s="4">
        <v>1</v>
      </c>
      <c r="I145" s="4">
        <v>0</v>
      </c>
      <c r="J145" s="4">
        <v>4</v>
      </c>
      <c r="K145" s="4">
        <v>0</v>
      </c>
      <c r="L145" s="4">
        <v>0</v>
      </c>
      <c r="M145" s="4">
        <v>0</v>
      </c>
      <c r="N145" s="4">
        <v>34649990</v>
      </c>
      <c r="O145" s="4">
        <v>1</v>
      </c>
    </row>
    <row r="146" spans="1:34" x14ac:dyDescent="0.2">
      <c r="A146" s="4">
        <v>75</v>
      </c>
      <c r="B146" s="4" t="s">
        <v>200</v>
      </c>
      <c r="C146" s="4">
        <v>2018</v>
      </c>
      <c r="D146" s="4">
        <v>1</v>
      </c>
      <c r="E146" s="4">
        <v>0</v>
      </c>
      <c r="F146" s="4">
        <v>0</v>
      </c>
      <c r="G146" s="4">
        <v>0</v>
      </c>
      <c r="H146" s="4">
        <v>1</v>
      </c>
      <c r="I146" s="4">
        <v>0</v>
      </c>
      <c r="J146" s="4">
        <v>4</v>
      </c>
      <c r="K146" s="4">
        <v>0</v>
      </c>
      <c r="L146" s="4">
        <v>0</v>
      </c>
      <c r="M146" s="4">
        <v>1</v>
      </c>
      <c r="N146" s="4">
        <v>34649991</v>
      </c>
      <c r="O146" s="4">
        <v>2</v>
      </c>
    </row>
    <row r="147" spans="1:34" x14ac:dyDescent="0.2">
      <c r="A147" s="6">
        <v>3</v>
      </c>
      <c r="B147" s="6" t="s">
        <v>201</v>
      </c>
      <c r="C147" s="6">
        <v>12.5</v>
      </c>
      <c r="D147" s="6">
        <v>7.5</v>
      </c>
      <c r="E147" s="6">
        <v>12.5</v>
      </c>
      <c r="F147" s="6">
        <v>18.3</v>
      </c>
      <c r="G147" s="6">
        <v>18.3</v>
      </c>
      <c r="H147" s="6">
        <v>7.5</v>
      </c>
      <c r="I147" s="6">
        <v>18.3</v>
      </c>
      <c r="J147" s="6">
        <v>2</v>
      </c>
      <c r="K147" s="6">
        <v>18.3</v>
      </c>
      <c r="L147" s="6">
        <v>12.5</v>
      </c>
      <c r="M147" s="6">
        <v>12.5</v>
      </c>
      <c r="N147" s="6">
        <v>7.5</v>
      </c>
      <c r="O147" s="6">
        <v>7.5</v>
      </c>
      <c r="P147" s="6">
        <v>18.3</v>
      </c>
      <c r="Q147" s="6">
        <v>18.3</v>
      </c>
      <c r="R147" s="6">
        <v>12.5</v>
      </c>
      <c r="S147" s="6" t="s">
        <v>6</v>
      </c>
      <c r="T147" s="6" t="s">
        <v>6</v>
      </c>
      <c r="U147" s="6" t="s">
        <v>6</v>
      </c>
      <c r="V147" s="6" t="s">
        <v>6</v>
      </c>
      <c r="W147" s="6" t="s">
        <v>6</v>
      </c>
      <c r="X147" s="6" t="s">
        <v>6</v>
      </c>
      <c r="Y147" s="6" t="s">
        <v>6</v>
      </c>
      <c r="Z147" s="6" t="s">
        <v>6</v>
      </c>
      <c r="AA147" s="6" t="s">
        <v>6</v>
      </c>
      <c r="AB147" s="6" t="s">
        <v>6</v>
      </c>
      <c r="AC147" s="6" t="s">
        <v>6</v>
      </c>
      <c r="AD147" s="6" t="s">
        <v>6</v>
      </c>
      <c r="AE147" s="6" t="s">
        <v>6</v>
      </c>
      <c r="AF147" s="6" t="s">
        <v>6</v>
      </c>
      <c r="AG147" s="6" t="s">
        <v>6</v>
      </c>
      <c r="AH147" s="6" t="s">
        <v>6</v>
      </c>
    </row>
    <row r="151" spans="1:34" x14ac:dyDescent="0.2">
      <c r="A151">
        <v>65</v>
      </c>
      <c r="C151">
        <v>1</v>
      </c>
      <c r="D151">
        <v>0</v>
      </c>
      <c r="E15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202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34649990</v>
      </c>
      <c r="E14" s="1">
        <v>34649991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(Source!F70)/1000</f>
        <v>69.474999999999994</v>
      </c>
      <c r="F16" s="8">
        <f>(Source!F71)/1000</f>
        <v>1.298</v>
      </c>
      <c r="G16" s="8">
        <f>(Source!F62)/1000</f>
        <v>0</v>
      </c>
      <c r="H16" s="8">
        <f>(Source!F72)/1000+(Source!F73)/1000</f>
        <v>0.94699999999999995</v>
      </c>
      <c r="I16" s="8">
        <f>E16+F16+G16+H16</f>
        <v>71.72</v>
      </c>
      <c r="J16" s="8">
        <f>(Source!F68)/1000</f>
        <v>1.0029999999999999</v>
      </c>
      <c r="T16" s="9">
        <f>(Source!P70)/1000</f>
        <v>521.06500000000005</v>
      </c>
      <c r="U16" s="9">
        <f>(Source!P71)/1000</f>
        <v>21.428000000000001</v>
      </c>
      <c r="V16" s="9">
        <f>(Source!P62)/1000</f>
        <v>0</v>
      </c>
      <c r="W16" s="9">
        <f>(Source!P72)/1000+(Source!P73)/1000</f>
        <v>15.802</v>
      </c>
      <c r="X16" s="9">
        <f>T16+U16+V16+W16</f>
        <v>558.29500000000007</v>
      </c>
      <c r="Y16" s="9">
        <f>(Source!P68)/1000</f>
        <v>18.37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70960</v>
      </c>
      <c r="AU16" s="8">
        <v>69475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1485</v>
      </c>
      <c r="BB16" s="8">
        <v>69475</v>
      </c>
      <c r="BC16" s="8">
        <v>1355</v>
      </c>
      <c r="BD16" s="8">
        <v>1890</v>
      </c>
      <c r="BE16" s="8">
        <v>0</v>
      </c>
      <c r="BF16" s="8">
        <v>117.407225</v>
      </c>
      <c r="BG16" s="8">
        <v>0</v>
      </c>
      <c r="BH16" s="8">
        <v>0</v>
      </c>
      <c r="BI16" s="8">
        <v>1052</v>
      </c>
      <c r="BJ16" s="8">
        <v>708</v>
      </c>
      <c r="BK16" s="8">
        <v>72720</v>
      </c>
      <c r="BR16" s="9">
        <v>548252</v>
      </c>
      <c r="BS16" s="9">
        <v>521065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27187</v>
      </c>
      <c r="BZ16" s="9">
        <v>521065</v>
      </c>
      <c r="CA16" s="9">
        <v>22360</v>
      </c>
      <c r="CB16" s="9">
        <v>31541</v>
      </c>
      <c r="CC16" s="9">
        <v>0</v>
      </c>
      <c r="CD16" s="9">
        <v>117.407225</v>
      </c>
      <c r="CE16" s="9">
        <v>0</v>
      </c>
      <c r="CF16" s="9">
        <v>0</v>
      </c>
      <c r="CG16" s="9">
        <v>16347</v>
      </c>
      <c r="CH16" s="9">
        <v>10367</v>
      </c>
      <c r="CI16" s="9">
        <v>574966</v>
      </c>
    </row>
    <row r="18" spans="1:40" x14ac:dyDescent="0.2">
      <c r="A18">
        <v>51</v>
      </c>
      <c r="E18" s="10">
        <f>SUMIF(A16:A17,3,E16:E17)</f>
        <v>69.474999999999994</v>
      </c>
      <c r="F18" s="10">
        <f>SUMIF(A16:A17,3,F16:F17)</f>
        <v>1.298</v>
      </c>
      <c r="G18" s="10">
        <f>SUMIF(A16:A17,3,G16:G17)</f>
        <v>0</v>
      </c>
      <c r="H18" s="10">
        <f>SUMIF(A16:A17,3,H16:H17)</f>
        <v>0.94699999999999995</v>
      </c>
      <c r="I18" s="10">
        <f>SUMIF(A16:A17,3,I16:I17)</f>
        <v>71.72</v>
      </c>
      <c r="J18" s="10">
        <f>SUMIF(A16:A17,3,J16:J17)</f>
        <v>1.0029999999999999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521.06500000000005</v>
      </c>
      <c r="U18" s="3">
        <f>SUMIF(A16:A17,3,U16:U17)</f>
        <v>21.428000000000001</v>
      </c>
      <c r="V18" s="3">
        <f>SUMIF(A16:A17,3,V16:V17)</f>
        <v>0</v>
      </c>
      <c r="W18" s="3">
        <f>SUMIF(A16:A17,3,W16:W17)</f>
        <v>15.802</v>
      </c>
      <c r="X18" s="3">
        <f>SUMIF(A16:A17,3,X16:X17)</f>
        <v>558.29500000000007</v>
      </c>
      <c r="Y18" s="3">
        <f>SUMIF(A16:A17,3,Y16:Y17)</f>
        <v>18.37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70960</v>
      </c>
      <c r="G20" s="5" t="s">
        <v>88</v>
      </c>
      <c r="H20" s="5" t="s">
        <v>89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548252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69475</v>
      </c>
      <c r="G21" s="5" t="s">
        <v>90</v>
      </c>
      <c r="H21" s="5" t="s">
        <v>91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521065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92</v>
      </c>
      <c r="H22" s="5" t="s">
        <v>93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69475</v>
      </c>
      <c r="G23" s="5" t="s">
        <v>94</v>
      </c>
      <c r="H23" s="5" t="s">
        <v>95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521065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69475</v>
      </c>
      <c r="G24" s="5" t="s">
        <v>96</v>
      </c>
      <c r="H24" s="5" t="s">
        <v>97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521065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98</v>
      </c>
      <c r="H25" s="5" t="s">
        <v>99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69475</v>
      </c>
      <c r="G26" s="5" t="s">
        <v>100</v>
      </c>
      <c r="H26" s="5" t="s">
        <v>101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521065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102</v>
      </c>
      <c r="H27" s="5" t="s">
        <v>103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104</v>
      </c>
      <c r="H28" s="5" t="s">
        <v>105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106</v>
      </c>
      <c r="H29" s="5" t="s">
        <v>107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0</v>
      </c>
      <c r="G30" s="5" t="s">
        <v>108</v>
      </c>
      <c r="H30" s="5" t="s">
        <v>109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0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110</v>
      </c>
      <c r="H31" s="5" t="s">
        <v>111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0</v>
      </c>
      <c r="G32" s="5" t="s">
        <v>112</v>
      </c>
      <c r="H32" s="5" t="s">
        <v>113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0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1485</v>
      </c>
      <c r="G33" s="5" t="s">
        <v>114</v>
      </c>
      <c r="H33" s="5" t="s">
        <v>115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27187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116</v>
      </c>
      <c r="H34" s="5" t="s">
        <v>117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69475</v>
      </c>
      <c r="G35" s="5" t="s">
        <v>118</v>
      </c>
      <c r="H35" s="5" t="s">
        <v>119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521065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1355</v>
      </c>
      <c r="G36" s="5" t="s">
        <v>120</v>
      </c>
      <c r="H36" s="5" t="s">
        <v>121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22360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1890</v>
      </c>
      <c r="G37" s="5" t="s">
        <v>122</v>
      </c>
      <c r="H37" s="5" t="s">
        <v>123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31541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124</v>
      </c>
      <c r="H38" s="5" t="s">
        <v>125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126</v>
      </c>
      <c r="H39" s="5" t="s">
        <v>127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117.407225</v>
      </c>
      <c r="G40" s="5" t="s">
        <v>128</v>
      </c>
      <c r="H40" s="5" t="s">
        <v>129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117.407225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</v>
      </c>
      <c r="G41" s="5" t="s">
        <v>130</v>
      </c>
      <c r="H41" s="5" t="s">
        <v>131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132</v>
      </c>
      <c r="H42" s="5" t="s">
        <v>133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1052</v>
      </c>
      <c r="G43" s="5" t="s">
        <v>134</v>
      </c>
      <c r="H43" s="5" t="s">
        <v>135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16347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708</v>
      </c>
      <c r="G44" s="5" t="s">
        <v>136</v>
      </c>
      <c r="H44" s="5" t="s">
        <v>137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10367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72720</v>
      </c>
      <c r="G45" s="5" t="s">
        <v>138</v>
      </c>
      <c r="H45" s="5" t="s">
        <v>139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574966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199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34649990</v>
      </c>
      <c r="O50" s="4">
        <v>1</v>
      </c>
    </row>
    <row r="51" spans="1:34" x14ac:dyDescent="0.2">
      <c r="A51" s="4">
        <v>75</v>
      </c>
      <c r="B51" s="4" t="s">
        <v>200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34649991</v>
      </c>
      <c r="O51" s="4">
        <v>2</v>
      </c>
    </row>
    <row r="52" spans="1:34" x14ac:dyDescent="0.2">
      <c r="A52" s="6">
        <v>3</v>
      </c>
      <c r="B52" s="6" t="s">
        <v>201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34649990</v>
      </c>
      <c r="C1">
        <v>34650053</v>
      </c>
      <c r="D1">
        <v>31725395</v>
      </c>
      <c r="E1">
        <v>1</v>
      </c>
      <c r="F1">
        <v>1</v>
      </c>
      <c r="G1">
        <v>1</v>
      </c>
      <c r="H1">
        <v>1</v>
      </c>
      <c r="I1" t="s">
        <v>203</v>
      </c>
      <c r="J1" t="s">
        <v>6</v>
      </c>
      <c r="K1" t="s">
        <v>204</v>
      </c>
      <c r="L1">
        <v>1191</v>
      </c>
      <c r="N1">
        <v>1013</v>
      </c>
      <c r="O1" t="s">
        <v>205</v>
      </c>
      <c r="P1" t="s">
        <v>205</v>
      </c>
      <c r="Q1">
        <v>1</v>
      </c>
      <c r="W1">
        <v>0</v>
      </c>
      <c r="X1">
        <v>912892513</v>
      </c>
      <c r="Y1">
        <v>0.70200000000000007</v>
      </c>
      <c r="AA1">
        <v>0</v>
      </c>
      <c r="AB1">
        <v>0</v>
      </c>
      <c r="AC1">
        <v>0</v>
      </c>
      <c r="AD1">
        <v>9.92</v>
      </c>
      <c r="AE1">
        <v>0</v>
      </c>
      <c r="AF1">
        <v>0</v>
      </c>
      <c r="AG1">
        <v>0</v>
      </c>
      <c r="AH1">
        <v>9.92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0.52</v>
      </c>
      <c r="AU1" t="s">
        <v>20</v>
      </c>
      <c r="AV1">
        <v>1</v>
      </c>
      <c r="AW1">
        <v>2</v>
      </c>
      <c r="AX1">
        <v>34650060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11.934000000000001</v>
      </c>
      <c r="CY1">
        <f>AD1</f>
        <v>9.92</v>
      </c>
      <c r="CZ1">
        <f>AH1</f>
        <v>9.92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34649990</v>
      </c>
      <c r="C2">
        <v>34650053</v>
      </c>
      <c r="D2">
        <v>0</v>
      </c>
      <c r="E2">
        <v>0</v>
      </c>
      <c r="F2">
        <v>1</v>
      </c>
      <c r="G2">
        <v>1</v>
      </c>
      <c r="H2">
        <v>3</v>
      </c>
      <c r="I2" t="s">
        <v>28</v>
      </c>
      <c r="J2" t="s">
        <v>46</v>
      </c>
      <c r="K2" t="s">
        <v>45</v>
      </c>
      <c r="L2">
        <v>1354</v>
      </c>
      <c r="N2">
        <v>1010</v>
      </c>
      <c r="O2" t="s">
        <v>30</v>
      </c>
      <c r="P2" t="s">
        <v>30</v>
      </c>
      <c r="Q2">
        <v>1</v>
      </c>
      <c r="W2">
        <v>0</v>
      </c>
      <c r="X2">
        <v>364634474</v>
      </c>
      <c r="Y2">
        <v>0.117647</v>
      </c>
      <c r="AA2">
        <v>5952</v>
      </c>
      <c r="AB2">
        <v>0</v>
      </c>
      <c r="AC2">
        <v>0</v>
      </c>
      <c r="AD2">
        <v>0</v>
      </c>
      <c r="AE2">
        <v>5952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S2" t="s">
        <v>6</v>
      </c>
      <c r="AT2">
        <v>0.117647</v>
      </c>
      <c r="AU2" t="s">
        <v>6</v>
      </c>
      <c r="AV2">
        <v>0</v>
      </c>
      <c r="AW2">
        <v>1</v>
      </c>
      <c r="AX2">
        <v>-1</v>
      </c>
      <c r="AY2">
        <v>0</v>
      </c>
      <c r="AZ2">
        <v>0</v>
      </c>
      <c r="BA2" t="s">
        <v>6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1.9999990000000001</v>
      </c>
      <c r="CY2">
        <f t="shared" ref="CY2:CY7" si="0">AA2</f>
        <v>5952</v>
      </c>
      <c r="CZ2">
        <f t="shared" ref="CZ2:CZ7" si="1">AE2</f>
        <v>5952</v>
      </c>
      <c r="DA2">
        <f t="shared" ref="DA2:DA7" si="2">AI2</f>
        <v>1</v>
      </c>
      <c r="DB2">
        <v>0</v>
      </c>
    </row>
    <row r="3" spans="1:106" x14ac:dyDescent="0.2">
      <c r="A3">
        <f>ROW(Source!A24)</f>
        <v>24</v>
      </c>
      <c r="B3">
        <v>34649990</v>
      </c>
      <c r="C3">
        <v>34650053</v>
      </c>
      <c r="D3">
        <v>0</v>
      </c>
      <c r="E3">
        <v>0</v>
      </c>
      <c r="F3">
        <v>1</v>
      </c>
      <c r="G3">
        <v>1</v>
      </c>
      <c r="H3">
        <v>3</v>
      </c>
      <c r="I3" t="s">
        <v>28</v>
      </c>
      <c r="J3" t="s">
        <v>6</v>
      </c>
      <c r="K3" t="s">
        <v>51</v>
      </c>
      <c r="L3">
        <v>1354</v>
      </c>
      <c r="N3">
        <v>1010</v>
      </c>
      <c r="O3" t="s">
        <v>30</v>
      </c>
      <c r="P3" t="s">
        <v>30</v>
      </c>
      <c r="Q3">
        <v>1</v>
      </c>
      <c r="W3">
        <v>0</v>
      </c>
      <c r="X3">
        <v>-1850732651</v>
      </c>
      <c r="Y3">
        <v>0.117647</v>
      </c>
      <c r="AA3">
        <v>1236.93</v>
      </c>
      <c r="AB3">
        <v>0</v>
      </c>
      <c r="AC3">
        <v>0</v>
      </c>
      <c r="AD3">
        <v>0</v>
      </c>
      <c r="AE3">
        <v>1236.93</v>
      </c>
      <c r="AF3">
        <v>0</v>
      </c>
      <c r="AG3">
        <v>0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0</v>
      </c>
      <c r="AP3">
        <v>0</v>
      </c>
      <c r="AQ3">
        <v>0</v>
      </c>
      <c r="AR3">
        <v>0</v>
      </c>
      <c r="AS3" t="s">
        <v>6</v>
      </c>
      <c r="AT3">
        <v>0.117647</v>
      </c>
      <c r="AU3" t="s">
        <v>6</v>
      </c>
      <c r="AV3">
        <v>0</v>
      </c>
      <c r="AW3">
        <v>1</v>
      </c>
      <c r="AX3">
        <v>-1</v>
      </c>
      <c r="AY3">
        <v>0</v>
      </c>
      <c r="AZ3">
        <v>0</v>
      </c>
      <c r="BA3" t="s">
        <v>6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1.9999990000000001</v>
      </c>
      <c r="CY3">
        <f t="shared" si="0"/>
        <v>1236.93</v>
      </c>
      <c r="CZ3">
        <f t="shared" si="1"/>
        <v>1236.93</v>
      </c>
      <c r="DA3">
        <f t="shared" si="2"/>
        <v>1</v>
      </c>
      <c r="DB3">
        <v>0</v>
      </c>
    </row>
    <row r="4" spans="1:106" x14ac:dyDescent="0.2">
      <c r="A4">
        <f>ROW(Source!A24)</f>
        <v>24</v>
      </c>
      <c r="B4">
        <v>34649990</v>
      </c>
      <c r="C4">
        <v>34650053</v>
      </c>
      <c r="D4">
        <v>0</v>
      </c>
      <c r="E4">
        <v>0</v>
      </c>
      <c r="F4">
        <v>1</v>
      </c>
      <c r="G4">
        <v>1</v>
      </c>
      <c r="H4">
        <v>3</v>
      </c>
      <c r="I4" t="s">
        <v>28</v>
      </c>
      <c r="J4" t="s">
        <v>6</v>
      </c>
      <c r="K4" t="s">
        <v>42</v>
      </c>
      <c r="L4">
        <v>1354</v>
      </c>
      <c r="N4">
        <v>1010</v>
      </c>
      <c r="O4" t="s">
        <v>30</v>
      </c>
      <c r="P4" t="s">
        <v>30</v>
      </c>
      <c r="Q4">
        <v>1</v>
      </c>
      <c r="W4">
        <v>0</v>
      </c>
      <c r="X4">
        <v>70547051</v>
      </c>
      <c r="Y4">
        <v>0.47058800000000001</v>
      </c>
      <c r="AA4">
        <v>1627.12</v>
      </c>
      <c r="AB4">
        <v>0</v>
      </c>
      <c r="AC4">
        <v>0</v>
      </c>
      <c r="AD4">
        <v>0</v>
      </c>
      <c r="AE4">
        <v>1627.12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S4" t="s">
        <v>6</v>
      </c>
      <c r="AT4">
        <v>0.47058800000000001</v>
      </c>
      <c r="AU4" t="s">
        <v>6</v>
      </c>
      <c r="AV4">
        <v>0</v>
      </c>
      <c r="AW4">
        <v>1</v>
      </c>
      <c r="AX4">
        <v>-1</v>
      </c>
      <c r="AY4">
        <v>0</v>
      </c>
      <c r="AZ4">
        <v>0</v>
      </c>
      <c r="BA4" t="s">
        <v>6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7.9999960000000003</v>
      </c>
      <c r="CY4">
        <f t="shared" si="0"/>
        <v>1627.12</v>
      </c>
      <c r="CZ4">
        <f t="shared" si="1"/>
        <v>1627.12</v>
      </c>
      <c r="DA4">
        <f t="shared" si="2"/>
        <v>1</v>
      </c>
      <c r="DB4">
        <v>0</v>
      </c>
    </row>
    <row r="5" spans="1:106" x14ac:dyDescent="0.2">
      <c r="A5">
        <f>ROW(Source!A24)</f>
        <v>24</v>
      </c>
      <c r="B5">
        <v>34649990</v>
      </c>
      <c r="C5">
        <v>34650053</v>
      </c>
      <c r="D5">
        <v>0</v>
      </c>
      <c r="E5">
        <v>0</v>
      </c>
      <c r="F5">
        <v>1</v>
      </c>
      <c r="G5">
        <v>1</v>
      </c>
      <c r="H5">
        <v>3</v>
      </c>
      <c r="I5" t="s">
        <v>28</v>
      </c>
      <c r="J5" t="s">
        <v>6</v>
      </c>
      <c r="K5" t="s">
        <v>39</v>
      </c>
      <c r="L5">
        <v>1354</v>
      </c>
      <c r="N5">
        <v>1010</v>
      </c>
      <c r="O5" t="s">
        <v>30</v>
      </c>
      <c r="P5" t="s">
        <v>30</v>
      </c>
      <c r="Q5">
        <v>1</v>
      </c>
      <c r="W5">
        <v>0</v>
      </c>
      <c r="X5">
        <v>-758806920</v>
      </c>
      <c r="Y5">
        <v>0.117647</v>
      </c>
      <c r="AA5">
        <v>1233.33</v>
      </c>
      <c r="AB5">
        <v>0</v>
      </c>
      <c r="AC5">
        <v>0</v>
      </c>
      <c r="AD5">
        <v>0</v>
      </c>
      <c r="AE5">
        <v>1233.33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0</v>
      </c>
      <c r="AQ5">
        <v>0</v>
      </c>
      <c r="AR5">
        <v>0</v>
      </c>
      <c r="AS5" t="s">
        <v>6</v>
      </c>
      <c r="AT5">
        <v>0.117647</v>
      </c>
      <c r="AU5" t="s">
        <v>6</v>
      </c>
      <c r="AV5">
        <v>0</v>
      </c>
      <c r="AW5">
        <v>1</v>
      </c>
      <c r="AX5">
        <v>-1</v>
      </c>
      <c r="AY5">
        <v>0</v>
      </c>
      <c r="AZ5">
        <v>0</v>
      </c>
      <c r="BA5" t="s">
        <v>6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1.9999990000000001</v>
      </c>
      <c r="CY5">
        <f t="shared" si="0"/>
        <v>1233.33</v>
      </c>
      <c r="CZ5">
        <f t="shared" si="1"/>
        <v>1233.33</v>
      </c>
      <c r="DA5">
        <f t="shared" si="2"/>
        <v>1</v>
      </c>
      <c r="DB5">
        <v>0</v>
      </c>
    </row>
    <row r="6" spans="1:106" x14ac:dyDescent="0.2">
      <c r="A6">
        <f>ROW(Source!A24)</f>
        <v>24</v>
      </c>
      <c r="B6">
        <v>34649990</v>
      </c>
      <c r="C6">
        <v>34650053</v>
      </c>
      <c r="D6">
        <v>0</v>
      </c>
      <c r="E6">
        <v>0</v>
      </c>
      <c r="F6">
        <v>1</v>
      </c>
      <c r="G6">
        <v>1</v>
      </c>
      <c r="H6">
        <v>3</v>
      </c>
      <c r="I6" t="s">
        <v>28</v>
      </c>
      <c r="J6" t="s">
        <v>6</v>
      </c>
      <c r="K6" t="s">
        <v>36</v>
      </c>
      <c r="L6">
        <v>1354</v>
      </c>
      <c r="N6">
        <v>1010</v>
      </c>
      <c r="O6" t="s">
        <v>30</v>
      </c>
      <c r="P6" t="s">
        <v>30</v>
      </c>
      <c r="Q6">
        <v>1</v>
      </c>
      <c r="W6">
        <v>0</v>
      </c>
      <c r="X6">
        <v>1455030152</v>
      </c>
      <c r="Y6">
        <v>5.8824000000000001E-2</v>
      </c>
      <c r="AA6">
        <v>25576.27</v>
      </c>
      <c r="AB6">
        <v>0</v>
      </c>
      <c r="AC6">
        <v>0</v>
      </c>
      <c r="AD6">
        <v>0</v>
      </c>
      <c r="AE6">
        <v>25576.27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0</v>
      </c>
      <c r="AQ6">
        <v>0</v>
      </c>
      <c r="AR6">
        <v>0</v>
      </c>
      <c r="AS6" t="s">
        <v>6</v>
      </c>
      <c r="AT6">
        <v>5.8824000000000001E-2</v>
      </c>
      <c r="AU6" t="s">
        <v>6</v>
      </c>
      <c r="AV6">
        <v>0</v>
      </c>
      <c r="AW6">
        <v>1</v>
      </c>
      <c r="AX6">
        <v>-1</v>
      </c>
      <c r="AY6">
        <v>0</v>
      </c>
      <c r="AZ6">
        <v>0</v>
      </c>
      <c r="BA6" t="s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1.000008</v>
      </c>
      <c r="CY6">
        <f t="shared" si="0"/>
        <v>25576.27</v>
      </c>
      <c r="CZ6">
        <f t="shared" si="1"/>
        <v>25576.27</v>
      </c>
      <c r="DA6">
        <f t="shared" si="2"/>
        <v>1</v>
      </c>
      <c r="DB6">
        <v>0</v>
      </c>
    </row>
    <row r="7" spans="1:106" x14ac:dyDescent="0.2">
      <c r="A7">
        <f>ROW(Source!A24)</f>
        <v>24</v>
      </c>
      <c r="B7">
        <v>34649990</v>
      </c>
      <c r="C7">
        <v>34650053</v>
      </c>
      <c r="D7">
        <v>0</v>
      </c>
      <c r="E7">
        <v>0</v>
      </c>
      <c r="F7">
        <v>1</v>
      </c>
      <c r="G7">
        <v>1</v>
      </c>
      <c r="H7">
        <v>3</v>
      </c>
      <c r="I7" t="s">
        <v>28</v>
      </c>
      <c r="J7" t="s">
        <v>6</v>
      </c>
      <c r="K7" t="s">
        <v>29</v>
      </c>
      <c r="L7">
        <v>1354</v>
      </c>
      <c r="N7">
        <v>1010</v>
      </c>
      <c r="O7" t="s">
        <v>30</v>
      </c>
      <c r="P7" t="s">
        <v>30</v>
      </c>
      <c r="Q7">
        <v>1</v>
      </c>
      <c r="W7">
        <v>0</v>
      </c>
      <c r="X7">
        <v>1989984190</v>
      </c>
      <c r="Y7">
        <v>0.117647</v>
      </c>
      <c r="AA7">
        <v>6617.73</v>
      </c>
      <c r="AB7">
        <v>0</v>
      </c>
      <c r="AC7">
        <v>0</v>
      </c>
      <c r="AD7">
        <v>0</v>
      </c>
      <c r="AE7">
        <v>6617.73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0</v>
      </c>
      <c r="AQ7">
        <v>0</v>
      </c>
      <c r="AR7">
        <v>0</v>
      </c>
      <c r="AS7" t="s">
        <v>6</v>
      </c>
      <c r="AT7">
        <v>0.117647</v>
      </c>
      <c r="AU7" t="s">
        <v>6</v>
      </c>
      <c r="AV7">
        <v>0</v>
      </c>
      <c r="AW7">
        <v>1</v>
      </c>
      <c r="AX7">
        <v>-1</v>
      </c>
      <c r="AY7">
        <v>0</v>
      </c>
      <c r="AZ7">
        <v>0</v>
      </c>
      <c r="BA7" t="s">
        <v>6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Y7*Source!I24</f>
        <v>1.9999990000000001</v>
      </c>
      <c r="CY7">
        <f t="shared" si="0"/>
        <v>6617.73</v>
      </c>
      <c r="CZ7">
        <f t="shared" si="1"/>
        <v>6617.73</v>
      </c>
      <c r="DA7">
        <f t="shared" si="2"/>
        <v>1</v>
      </c>
      <c r="DB7">
        <v>0</v>
      </c>
    </row>
    <row r="8" spans="1:106" x14ac:dyDescent="0.2">
      <c r="A8">
        <f>ROW(Source!A25)</f>
        <v>25</v>
      </c>
      <c r="B8">
        <v>34649991</v>
      </c>
      <c r="C8">
        <v>34650053</v>
      </c>
      <c r="D8">
        <v>31725395</v>
      </c>
      <c r="E8">
        <v>1</v>
      </c>
      <c r="F8">
        <v>1</v>
      </c>
      <c r="G8">
        <v>1</v>
      </c>
      <c r="H8">
        <v>1</v>
      </c>
      <c r="I8" t="s">
        <v>203</v>
      </c>
      <c r="J8" t="s">
        <v>6</v>
      </c>
      <c r="K8" t="s">
        <v>204</v>
      </c>
      <c r="L8">
        <v>1191</v>
      </c>
      <c r="N8">
        <v>1013</v>
      </c>
      <c r="O8" t="s">
        <v>205</v>
      </c>
      <c r="P8" t="s">
        <v>205</v>
      </c>
      <c r="Q8">
        <v>1</v>
      </c>
      <c r="W8">
        <v>0</v>
      </c>
      <c r="X8">
        <v>912892513</v>
      </c>
      <c r="Y8">
        <v>0.70200000000000007</v>
      </c>
      <c r="AA8">
        <v>0</v>
      </c>
      <c r="AB8">
        <v>0</v>
      </c>
      <c r="AC8">
        <v>0</v>
      </c>
      <c r="AD8">
        <v>181.54</v>
      </c>
      <c r="AE8">
        <v>0</v>
      </c>
      <c r="AF8">
        <v>0</v>
      </c>
      <c r="AG8">
        <v>0</v>
      </c>
      <c r="AH8">
        <v>9.92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0.52</v>
      </c>
      <c r="AU8" t="s">
        <v>20</v>
      </c>
      <c r="AV8">
        <v>1</v>
      </c>
      <c r="AW8">
        <v>2</v>
      </c>
      <c r="AX8">
        <v>34650060</v>
      </c>
      <c r="AY8">
        <v>1</v>
      </c>
      <c r="AZ8">
        <v>0</v>
      </c>
      <c r="BA8">
        <v>4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11.934000000000001</v>
      </c>
      <c r="CY8">
        <f>AD8</f>
        <v>181.54</v>
      </c>
      <c r="CZ8">
        <f>AH8</f>
        <v>9.92</v>
      </c>
      <c r="DA8">
        <f>AL8</f>
        <v>18.3</v>
      </c>
      <c r="DB8">
        <v>0</v>
      </c>
    </row>
    <row r="9" spans="1:106" x14ac:dyDescent="0.2">
      <c r="A9">
        <f>ROW(Source!A25)</f>
        <v>25</v>
      </c>
      <c r="B9">
        <v>34649991</v>
      </c>
      <c r="C9">
        <v>34650053</v>
      </c>
      <c r="D9">
        <v>0</v>
      </c>
      <c r="E9">
        <v>0</v>
      </c>
      <c r="F9">
        <v>1</v>
      </c>
      <c r="G9">
        <v>1</v>
      </c>
      <c r="H9">
        <v>3</v>
      </c>
      <c r="I9" t="s">
        <v>28</v>
      </c>
      <c r="J9" t="s">
        <v>46</v>
      </c>
      <c r="K9" t="s">
        <v>45</v>
      </c>
      <c r="L9">
        <v>1354</v>
      </c>
      <c r="N9">
        <v>1010</v>
      </c>
      <c r="O9" t="s">
        <v>30</v>
      </c>
      <c r="P9" t="s">
        <v>30</v>
      </c>
      <c r="Q9">
        <v>1</v>
      </c>
      <c r="W9">
        <v>0</v>
      </c>
      <c r="X9">
        <v>364634474</v>
      </c>
      <c r="Y9">
        <v>0.117647</v>
      </c>
      <c r="AA9">
        <v>44640</v>
      </c>
      <c r="AB9">
        <v>0</v>
      </c>
      <c r="AC9">
        <v>0</v>
      </c>
      <c r="AD9">
        <v>0</v>
      </c>
      <c r="AE9">
        <v>5952</v>
      </c>
      <c r="AF9">
        <v>0</v>
      </c>
      <c r="AG9">
        <v>0</v>
      </c>
      <c r="AH9">
        <v>0</v>
      </c>
      <c r="AI9">
        <v>7.5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S9" t="s">
        <v>6</v>
      </c>
      <c r="AT9">
        <v>0.117647</v>
      </c>
      <c r="AU9" t="s">
        <v>6</v>
      </c>
      <c r="AV9">
        <v>0</v>
      </c>
      <c r="AW9">
        <v>1</v>
      </c>
      <c r="AX9">
        <v>-1</v>
      </c>
      <c r="AY9">
        <v>0</v>
      </c>
      <c r="AZ9">
        <v>0</v>
      </c>
      <c r="BA9" t="s">
        <v>6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1.9999990000000001</v>
      </c>
      <c r="CY9">
        <f t="shared" ref="CY9:CY14" si="3">AA9</f>
        <v>44640</v>
      </c>
      <c r="CZ9">
        <f t="shared" ref="CZ9:CZ14" si="4">AE9</f>
        <v>5952</v>
      </c>
      <c r="DA9">
        <f t="shared" ref="DA9:DA14" si="5">AI9</f>
        <v>7.5</v>
      </c>
      <c r="DB9">
        <v>0</v>
      </c>
    </row>
    <row r="10" spans="1:106" x14ac:dyDescent="0.2">
      <c r="A10">
        <f>ROW(Source!A25)</f>
        <v>25</v>
      </c>
      <c r="B10">
        <v>34649991</v>
      </c>
      <c r="C10">
        <v>34650053</v>
      </c>
      <c r="D10">
        <v>0</v>
      </c>
      <c r="E10">
        <v>0</v>
      </c>
      <c r="F10">
        <v>1</v>
      </c>
      <c r="G10">
        <v>1</v>
      </c>
      <c r="H10">
        <v>3</v>
      </c>
      <c r="I10" t="s">
        <v>28</v>
      </c>
      <c r="J10" t="s">
        <v>6</v>
      </c>
      <c r="K10" t="s">
        <v>51</v>
      </c>
      <c r="L10">
        <v>1354</v>
      </c>
      <c r="N10">
        <v>1010</v>
      </c>
      <c r="O10" t="s">
        <v>30</v>
      </c>
      <c r="P10" t="s">
        <v>30</v>
      </c>
      <c r="Q10">
        <v>1</v>
      </c>
      <c r="W10">
        <v>0</v>
      </c>
      <c r="X10">
        <v>-1850732651</v>
      </c>
      <c r="Y10">
        <v>0.117647</v>
      </c>
      <c r="AA10">
        <v>9277</v>
      </c>
      <c r="AB10">
        <v>0</v>
      </c>
      <c r="AC10">
        <v>0</v>
      </c>
      <c r="AD10">
        <v>0</v>
      </c>
      <c r="AE10">
        <v>1236.93</v>
      </c>
      <c r="AF10">
        <v>0</v>
      </c>
      <c r="AG10">
        <v>0</v>
      </c>
      <c r="AH10">
        <v>0</v>
      </c>
      <c r="AI10">
        <v>7.5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 t="s">
        <v>6</v>
      </c>
      <c r="AT10">
        <v>0.117647</v>
      </c>
      <c r="AU10" t="s">
        <v>6</v>
      </c>
      <c r="AV10">
        <v>0</v>
      </c>
      <c r="AW10">
        <v>1</v>
      </c>
      <c r="AX10">
        <v>-1</v>
      </c>
      <c r="AY10">
        <v>0</v>
      </c>
      <c r="AZ10">
        <v>0</v>
      </c>
      <c r="BA10" t="s">
        <v>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1.9999990000000001</v>
      </c>
      <c r="CY10">
        <f t="shared" si="3"/>
        <v>9277</v>
      </c>
      <c r="CZ10">
        <f t="shared" si="4"/>
        <v>1236.93</v>
      </c>
      <c r="DA10">
        <f t="shared" si="5"/>
        <v>7.5</v>
      </c>
      <c r="DB10">
        <v>0</v>
      </c>
    </row>
    <row r="11" spans="1:106" x14ac:dyDescent="0.2">
      <c r="A11">
        <f>ROW(Source!A25)</f>
        <v>25</v>
      </c>
      <c r="B11">
        <v>34649991</v>
      </c>
      <c r="C11">
        <v>34650053</v>
      </c>
      <c r="D11">
        <v>0</v>
      </c>
      <c r="E11">
        <v>0</v>
      </c>
      <c r="F11">
        <v>1</v>
      </c>
      <c r="G11">
        <v>1</v>
      </c>
      <c r="H11">
        <v>3</v>
      </c>
      <c r="I11" t="s">
        <v>28</v>
      </c>
      <c r="J11" t="s">
        <v>6</v>
      </c>
      <c r="K11" t="s">
        <v>42</v>
      </c>
      <c r="L11">
        <v>1354</v>
      </c>
      <c r="N11">
        <v>1010</v>
      </c>
      <c r="O11" t="s">
        <v>30</v>
      </c>
      <c r="P11" t="s">
        <v>30</v>
      </c>
      <c r="Q11">
        <v>1</v>
      </c>
      <c r="W11">
        <v>0</v>
      </c>
      <c r="X11">
        <v>70547051</v>
      </c>
      <c r="Y11">
        <v>0.47058800000000001</v>
      </c>
      <c r="AA11">
        <v>12203.39</v>
      </c>
      <c r="AB11">
        <v>0</v>
      </c>
      <c r="AC11">
        <v>0</v>
      </c>
      <c r="AD11">
        <v>0</v>
      </c>
      <c r="AE11">
        <v>1627.12</v>
      </c>
      <c r="AF11">
        <v>0</v>
      </c>
      <c r="AG11">
        <v>0</v>
      </c>
      <c r="AH11">
        <v>0</v>
      </c>
      <c r="AI11">
        <v>7.5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6</v>
      </c>
      <c r="AT11">
        <v>0.47058800000000001</v>
      </c>
      <c r="AU11" t="s">
        <v>6</v>
      </c>
      <c r="AV11">
        <v>0</v>
      </c>
      <c r="AW11">
        <v>1</v>
      </c>
      <c r="AX11">
        <v>-1</v>
      </c>
      <c r="AY11">
        <v>0</v>
      </c>
      <c r="AZ11">
        <v>0</v>
      </c>
      <c r="BA11" t="s">
        <v>6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7.9999960000000003</v>
      </c>
      <c r="CY11">
        <f t="shared" si="3"/>
        <v>12203.39</v>
      </c>
      <c r="CZ11">
        <f t="shared" si="4"/>
        <v>1627.12</v>
      </c>
      <c r="DA11">
        <f t="shared" si="5"/>
        <v>7.5</v>
      </c>
      <c r="DB11">
        <v>0</v>
      </c>
    </row>
    <row r="12" spans="1:106" x14ac:dyDescent="0.2">
      <c r="A12">
        <f>ROW(Source!A25)</f>
        <v>25</v>
      </c>
      <c r="B12">
        <v>34649991</v>
      </c>
      <c r="C12">
        <v>34650053</v>
      </c>
      <c r="D12">
        <v>0</v>
      </c>
      <c r="E12">
        <v>0</v>
      </c>
      <c r="F12">
        <v>1</v>
      </c>
      <c r="G12">
        <v>1</v>
      </c>
      <c r="H12">
        <v>3</v>
      </c>
      <c r="I12" t="s">
        <v>28</v>
      </c>
      <c r="J12" t="s">
        <v>6</v>
      </c>
      <c r="K12" t="s">
        <v>39</v>
      </c>
      <c r="L12">
        <v>1354</v>
      </c>
      <c r="N12">
        <v>1010</v>
      </c>
      <c r="O12" t="s">
        <v>30</v>
      </c>
      <c r="P12" t="s">
        <v>30</v>
      </c>
      <c r="Q12">
        <v>1</v>
      </c>
      <c r="W12">
        <v>0</v>
      </c>
      <c r="X12">
        <v>-758806920</v>
      </c>
      <c r="Y12">
        <v>0.117647</v>
      </c>
      <c r="AA12">
        <v>9250</v>
      </c>
      <c r="AB12">
        <v>0</v>
      </c>
      <c r="AC12">
        <v>0</v>
      </c>
      <c r="AD12">
        <v>0</v>
      </c>
      <c r="AE12">
        <v>1233.33</v>
      </c>
      <c r="AF12">
        <v>0</v>
      </c>
      <c r="AG12">
        <v>0</v>
      </c>
      <c r="AH12">
        <v>0</v>
      </c>
      <c r="AI12">
        <v>7.5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6</v>
      </c>
      <c r="AT12">
        <v>0.117647</v>
      </c>
      <c r="AU12" t="s">
        <v>6</v>
      </c>
      <c r="AV12">
        <v>0</v>
      </c>
      <c r="AW12">
        <v>1</v>
      </c>
      <c r="AX12">
        <v>-1</v>
      </c>
      <c r="AY12">
        <v>0</v>
      </c>
      <c r="AZ12">
        <v>0</v>
      </c>
      <c r="BA12" t="s">
        <v>6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1.9999990000000001</v>
      </c>
      <c r="CY12">
        <f t="shared" si="3"/>
        <v>9250</v>
      </c>
      <c r="CZ12">
        <f t="shared" si="4"/>
        <v>1233.33</v>
      </c>
      <c r="DA12">
        <f t="shared" si="5"/>
        <v>7.5</v>
      </c>
      <c r="DB12">
        <v>0</v>
      </c>
    </row>
    <row r="13" spans="1:106" x14ac:dyDescent="0.2">
      <c r="A13">
        <f>ROW(Source!A25)</f>
        <v>25</v>
      </c>
      <c r="B13">
        <v>34649991</v>
      </c>
      <c r="C13">
        <v>34650053</v>
      </c>
      <c r="D13">
        <v>0</v>
      </c>
      <c r="E13">
        <v>0</v>
      </c>
      <c r="F13">
        <v>1</v>
      </c>
      <c r="G13">
        <v>1</v>
      </c>
      <c r="H13">
        <v>3</v>
      </c>
      <c r="I13" t="s">
        <v>28</v>
      </c>
      <c r="J13" t="s">
        <v>6</v>
      </c>
      <c r="K13" t="s">
        <v>36</v>
      </c>
      <c r="L13">
        <v>1354</v>
      </c>
      <c r="N13">
        <v>1010</v>
      </c>
      <c r="O13" t="s">
        <v>30</v>
      </c>
      <c r="P13" t="s">
        <v>30</v>
      </c>
      <c r="Q13">
        <v>1</v>
      </c>
      <c r="W13">
        <v>0</v>
      </c>
      <c r="X13">
        <v>1455030152</v>
      </c>
      <c r="Y13">
        <v>5.8824000000000001E-2</v>
      </c>
      <c r="AA13">
        <v>191822.03</v>
      </c>
      <c r="AB13">
        <v>0</v>
      </c>
      <c r="AC13">
        <v>0</v>
      </c>
      <c r="AD13">
        <v>0</v>
      </c>
      <c r="AE13">
        <v>25576.27</v>
      </c>
      <c r="AF13">
        <v>0</v>
      </c>
      <c r="AG13">
        <v>0</v>
      </c>
      <c r="AH13">
        <v>0</v>
      </c>
      <c r="AI13">
        <v>7.5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 t="s">
        <v>6</v>
      </c>
      <c r="AT13">
        <v>5.8824000000000001E-2</v>
      </c>
      <c r="AU13" t="s">
        <v>6</v>
      </c>
      <c r="AV13">
        <v>0</v>
      </c>
      <c r="AW13">
        <v>1</v>
      </c>
      <c r="AX13">
        <v>-1</v>
      </c>
      <c r="AY13">
        <v>0</v>
      </c>
      <c r="AZ13">
        <v>0</v>
      </c>
      <c r="BA13" t="s">
        <v>6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Y13*Source!I25</f>
        <v>1.000008</v>
      </c>
      <c r="CY13">
        <f t="shared" si="3"/>
        <v>191822.03</v>
      </c>
      <c r="CZ13">
        <f t="shared" si="4"/>
        <v>25576.27</v>
      </c>
      <c r="DA13">
        <f t="shared" si="5"/>
        <v>7.5</v>
      </c>
      <c r="DB13">
        <v>0</v>
      </c>
    </row>
    <row r="14" spans="1:106" x14ac:dyDescent="0.2">
      <c r="A14">
        <f>ROW(Source!A25)</f>
        <v>25</v>
      </c>
      <c r="B14">
        <v>34649991</v>
      </c>
      <c r="C14">
        <v>34650053</v>
      </c>
      <c r="D14">
        <v>0</v>
      </c>
      <c r="E14">
        <v>0</v>
      </c>
      <c r="F14">
        <v>1</v>
      </c>
      <c r="G14">
        <v>1</v>
      </c>
      <c r="H14">
        <v>3</v>
      </c>
      <c r="I14" t="s">
        <v>28</v>
      </c>
      <c r="J14" t="s">
        <v>6</v>
      </c>
      <c r="K14" t="s">
        <v>29</v>
      </c>
      <c r="L14">
        <v>1354</v>
      </c>
      <c r="N14">
        <v>1010</v>
      </c>
      <c r="O14" t="s">
        <v>30</v>
      </c>
      <c r="P14" t="s">
        <v>30</v>
      </c>
      <c r="Q14">
        <v>1</v>
      </c>
      <c r="W14">
        <v>0</v>
      </c>
      <c r="X14">
        <v>1989984190</v>
      </c>
      <c r="Y14">
        <v>0.117647</v>
      </c>
      <c r="AA14">
        <v>49633</v>
      </c>
      <c r="AB14">
        <v>0</v>
      </c>
      <c r="AC14">
        <v>0</v>
      </c>
      <c r="AD14">
        <v>0</v>
      </c>
      <c r="AE14">
        <v>6617.73</v>
      </c>
      <c r="AF14">
        <v>0</v>
      </c>
      <c r="AG14">
        <v>0</v>
      </c>
      <c r="AH14">
        <v>0</v>
      </c>
      <c r="AI14">
        <v>7.5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 t="s">
        <v>6</v>
      </c>
      <c r="AT14">
        <v>0.117647</v>
      </c>
      <c r="AU14" t="s">
        <v>6</v>
      </c>
      <c r="AV14">
        <v>0</v>
      </c>
      <c r="AW14">
        <v>1</v>
      </c>
      <c r="AX14">
        <v>-1</v>
      </c>
      <c r="AY14">
        <v>0</v>
      </c>
      <c r="AZ14">
        <v>0</v>
      </c>
      <c r="BA14" t="s">
        <v>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Y14*Source!I25</f>
        <v>1.9999990000000001</v>
      </c>
      <c r="CY14">
        <f t="shared" si="3"/>
        <v>49633</v>
      </c>
      <c r="CZ14">
        <f t="shared" si="4"/>
        <v>6617.73</v>
      </c>
      <c r="DA14">
        <f t="shared" si="5"/>
        <v>7.5</v>
      </c>
      <c r="DB14">
        <v>0</v>
      </c>
    </row>
    <row r="15" spans="1:106" x14ac:dyDescent="0.2">
      <c r="A15">
        <f>ROW(Source!A38)</f>
        <v>38</v>
      </c>
      <c r="B15">
        <v>34649990</v>
      </c>
      <c r="C15">
        <v>34650068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206</v>
      </c>
      <c r="J15" t="s">
        <v>6</v>
      </c>
      <c r="K15" t="s">
        <v>207</v>
      </c>
      <c r="L15">
        <v>1191</v>
      </c>
      <c r="N15">
        <v>1013</v>
      </c>
      <c r="O15" t="s">
        <v>205</v>
      </c>
      <c r="P15" t="s">
        <v>205</v>
      </c>
      <c r="Q15">
        <v>1</v>
      </c>
      <c r="W15">
        <v>0</v>
      </c>
      <c r="X15">
        <v>1446053411</v>
      </c>
      <c r="Y15">
        <v>12.5145</v>
      </c>
      <c r="AA15">
        <v>0</v>
      </c>
      <c r="AB15">
        <v>0</v>
      </c>
      <c r="AC15">
        <v>0</v>
      </c>
      <c r="AD15">
        <v>11.09</v>
      </c>
      <c r="AE15">
        <v>0</v>
      </c>
      <c r="AF15">
        <v>0</v>
      </c>
      <c r="AG15">
        <v>0</v>
      </c>
      <c r="AH15">
        <v>11.09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9.27</v>
      </c>
      <c r="AU15" t="s">
        <v>20</v>
      </c>
      <c r="AV15">
        <v>1</v>
      </c>
      <c r="AW15">
        <v>2</v>
      </c>
      <c r="AX15">
        <v>34650073</v>
      </c>
      <c r="AY15">
        <v>1</v>
      </c>
      <c r="AZ15">
        <v>0</v>
      </c>
      <c r="BA15">
        <v>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Y15*Source!I38</f>
        <v>38.169224999999997</v>
      </c>
      <c r="CY15">
        <f>AD15</f>
        <v>11.09</v>
      </c>
      <c r="CZ15">
        <f>AH15</f>
        <v>11.09</v>
      </c>
      <c r="DA15">
        <f>AL15</f>
        <v>1</v>
      </c>
      <c r="DB15">
        <v>0</v>
      </c>
    </row>
    <row r="16" spans="1:106" x14ac:dyDescent="0.2">
      <c r="A16">
        <f>ROW(Source!A38)</f>
        <v>38</v>
      </c>
      <c r="B16">
        <v>34649990</v>
      </c>
      <c r="C16">
        <v>34650068</v>
      </c>
      <c r="D16">
        <v>31515411</v>
      </c>
      <c r="E16">
        <v>1</v>
      </c>
      <c r="F16">
        <v>1</v>
      </c>
      <c r="G16">
        <v>1</v>
      </c>
      <c r="H16">
        <v>3</v>
      </c>
      <c r="I16" t="s">
        <v>64</v>
      </c>
      <c r="J16" t="s">
        <v>67</v>
      </c>
      <c r="K16" t="s">
        <v>65</v>
      </c>
      <c r="L16">
        <v>1355</v>
      </c>
      <c r="N16">
        <v>1010</v>
      </c>
      <c r="O16" t="s">
        <v>66</v>
      </c>
      <c r="P16" t="s">
        <v>66</v>
      </c>
      <c r="Q16">
        <v>100</v>
      </c>
      <c r="W16">
        <v>0</v>
      </c>
      <c r="X16">
        <v>1924823676</v>
      </c>
      <c r="Y16">
        <v>0</v>
      </c>
      <c r="AA16">
        <v>30.74</v>
      </c>
      <c r="AB16">
        <v>0</v>
      </c>
      <c r="AC16">
        <v>0</v>
      </c>
      <c r="AD16">
        <v>0</v>
      </c>
      <c r="AE16">
        <v>30.74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</v>
      </c>
      <c r="AU16" t="s">
        <v>6</v>
      </c>
      <c r="AV16">
        <v>0</v>
      </c>
      <c r="AW16">
        <v>2</v>
      </c>
      <c r="AX16">
        <v>34650075</v>
      </c>
      <c r="AY16">
        <v>1</v>
      </c>
      <c r="AZ16">
        <v>6144</v>
      </c>
      <c r="BA16">
        <v>9</v>
      </c>
      <c r="BB16">
        <v>3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Y16*Source!I38</f>
        <v>0</v>
      </c>
      <c r="CY16">
        <f>AA16</f>
        <v>30.74</v>
      </c>
      <c r="CZ16">
        <f>AE16</f>
        <v>30.74</v>
      </c>
      <c r="DA16">
        <f>AI16</f>
        <v>1</v>
      </c>
      <c r="DB16">
        <v>0</v>
      </c>
    </row>
    <row r="17" spans="1:106" x14ac:dyDescent="0.2">
      <c r="A17">
        <f>ROW(Source!A38)</f>
        <v>38</v>
      </c>
      <c r="B17">
        <v>34649990</v>
      </c>
      <c r="C17">
        <v>34650068</v>
      </c>
      <c r="D17">
        <v>31443668</v>
      </c>
      <c r="E17">
        <v>17</v>
      </c>
      <c r="F17">
        <v>1</v>
      </c>
      <c r="G17">
        <v>1</v>
      </c>
      <c r="H17">
        <v>3</v>
      </c>
      <c r="I17" t="s">
        <v>69</v>
      </c>
      <c r="J17" t="s">
        <v>6</v>
      </c>
      <c r="K17" t="s">
        <v>70</v>
      </c>
      <c r="L17">
        <v>1374</v>
      </c>
      <c r="N17">
        <v>1013</v>
      </c>
      <c r="O17" t="s">
        <v>71</v>
      </c>
      <c r="P17" t="s">
        <v>71</v>
      </c>
      <c r="Q17">
        <v>1</v>
      </c>
      <c r="W17">
        <v>0</v>
      </c>
      <c r="X17">
        <v>-1731369543</v>
      </c>
      <c r="Y17">
        <v>0</v>
      </c>
      <c r="AA17">
        <v>1</v>
      </c>
      <c r="AB17">
        <v>0</v>
      </c>
      <c r="AC17">
        <v>0</v>
      </c>
      <c r="AD17">
        <v>0</v>
      </c>
      <c r="AE17">
        <v>1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0</v>
      </c>
      <c r="AU17" t="s">
        <v>6</v>
      </c>
      <c r="AV17">
        <v>0</v>
      </c>
      <c r="AW17">
        <v>2</v>
      </c>
      <c r="AX17">
        <v>34650076</v>
      </c>
      <c r="AY17">
        <v>1</v>
      </c>
      <c r="AZ17">
        <v>6144</v>
      </c>
      <c r="BA17">
        <v>10</v>
      </c>
      <c r="BB17">
        <v>3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Y17*Source!I38</f>
        <v>0</v>
      </c>
      <c r="CY17">
        <f>AA17</f>
        <v>1</v>
      </c>
      <c r="CZ17">
        <f>AE17</f>
        <v>1</v>
      </c>
      <c r="DA17">
        <f>AI17</f>
        <v>1</v>
      </c>
      <c r="DB17">
        <v>0</v>
      </c>
    </row>
    <row r="18" spans="1:106" x14ac:dyDescent="0.2">
      <c r="A18">
        <f>ROW(Source!A38)</f>
        <v>38</v>
      </c>
      <c r="B18">
        <v>34649990</v>
      </c>
      <c r="C18">
        <v>34650068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28</v>
      </c>
      <c r="J18" t="s">
        <v>61</v>
      </c>
      <c r="K18" t="s">
        <v>59</v>
      </c>
      <c r="L18">
        <v>1301</v>
      </c>
      <c r="N18">
        <v>1003</v>
      </c>
      <c r="O18" t="s">
        <v>60</v>
      </c>
      <c r="P18" t="s">
        <v>60</v>
      </c>
      <c r="Q18">
        <v>1</v>
      </c>
      <c r="W18">
        <v>0</v>
      </c>
      <c r="X18">
        <v>-1948848067</v>
      </c>
      <c r="Y18">
        <v>100</v>
      </c>
      <c r="AA18">
        <v>2.63</v>
      </c>
      <c r="AB18">
        <v>0</v>
      </c>
      <c r="AC18">
        <v>0</v>
      </c>
      <c r="AD18">
        <v>0</v>
      </c>
      <c r="AE18">
        <v>2.63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100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Y18*Source!I38</f>
        <v>305</v>
      </c>
      <c r="CY18">
        <f>AA18</f>
        <v>2.63</v>
      </c>
      <c r="CZ18">
        <f>AE18</f>
        <v>2.63</v>
      </c>
      <c r="DA18">
        <f>AI18</f>
        <v>1</v>
      </c>
      <c r="DB18">
        <v>0</v>
      </c>
    </row>
    <row r="19" spans="1:106" x14ac:dyDescent="0.2">
      <c r="A19">
        <f>ROW(Source!A39)</f>
        <v>39</v>
      </c>
      <c r="B19">
        <v>34649991</v>
      </c>
      <c r="C19">
        <v>34650068</v>
      </c>
      <c r="D19">
        <v>31757860</v>
      </c>
      <c r="E19">
        <v>1</v>
      </c>
      <c r="F19">
        <v>1</v>
      </c>
      <c r="G19">
        <v>1</v>
      </c>
      <c r="H19">
        <v>1</v>
      </c>
      <c r="I19" t="s">
        <v>206</v>
      </c>
      <c r="J19" t="s">
        <v>6</v>
      </c>
      <c r="K19" t="s">
        <v>207</v>
      </c>
      <c r="L19">
        <v>1191</v>
      </c>
      <c r="N19">
        <v>1013</v>
      </c>
      <c r="O19" t="s">
        <v>205</v>
      </c>
      <c r="P19" t="s">
        <v>205</v>
      </c>
      <c r="Q19">
        <v>1</v>
      </c>
      <c r="W19">
        <v>0</v>
      </c>
      <c r="X19">
        <v>1446053411</v>
      </c>
      <c r="Y19">
        <v>12.5145</v>
      </c>
      <c r="AA19">
        <v>0</v>
      </c>
      <c r="AB19">
        <v>0</v>
      </c>
      <c r="AC19">
        <v>0</v>
      </c>
      <c r="AD19">
        <v>202.95</v>
      </c>
      <c r="AE19">
        <v>0</v>
      </c>
      <c r="AF19">
        <v>0</v>
      </c>
      <c r="AG19">
        <v>0</v>
      </c>
      <c r="AH19">
        <v>11.09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6</v>
      </c>
      <c r="AT19">
        <v>9.27</v>
      </c>
      <c r="AU19" t="s">
        <v>20</v>
      </c>
      <c r="AV19">
        <v>1</v>
      </c>
      <c r="AW19">
        <v>2</v>
      </c>
      <c r="AX19">
        <v>34650073</v>
      </c>
      <c r="AY19">
        <v>1</v>
      </c>
      <c r="AZ19">
        <v>0</v>
      </c>
      <c r="BA19">
        <v>11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Y19*Source!I39</f>
        <v>38.169224999999997</v>
      </c>
      <c r="CY19">
        <f>AD19</f>
        <v>202.95</v>
      </c>
      <c r="CZ19">
        <f>AH19</f>
        <v>11.09</v>
      </c>
      <c r="DA19">
        <f>AL19</f>
        <v>18.3</v>
      </c>
      <c r="DB19">
        <v>0</v>
      </c>
    </row>
    <row r="20" spans="1:106" x14ac:dyDescent="0.2">
      <c r="A20">
        <f>ROW(Source!A39)</f>
        <v>39</v>
      </c>
      <c r="B20">
        <v>34649991</v>
      </c>
      <c r="C20">
        <v>34650068</v>
      </c>
      <c r="D20">
        <v>31515411</v>
      </c>
      <c r="E20">
        <v>1</v>
      </c>
      <c r="F20">
        <v>1</v>
      </c>
      <c r="G20">
        <v>1</v>
      </c>
      <c r="H20">
        <v>3</v>
      </c>
      <c r="I20" t="s">
        <v>64</v>
      </c>
      <c r="J20" t="s">
        <v>67</v>
      </c>
      <c r="K20" t="s">
        <v>65</v>
      </c>
      <c r="L20">
        <v>1355</v>
      </c>
      <c r="N20">
        <v>1010</v>
      </c>
      <c r="O20" t="s">
        <v>66</v>
      </c>
      <c r="P20" t="s">
        <v>66</v>
      </c>
      <c r="Q20">
        <v>100</v>
      </c>
      <c r="W20">
        <v>0</v>
      </c>
      <c r="X20">
        <v>1924823676</v>
      </c>
      <c r="Y20">
        <v>0</v>
      </c>
      <c r="AA20">
        <v>230.55</v>
      </c>
      <c r="AB20">
        <v>0</v>
      </c>
      <c r="AC20">
        <v>0</v>
      </c>
      <c r="AD20">
        <v>0</v>
      </c>
      <c r="AE20">
        <v>30.74</v>
      </c>
      <c r="AF20">
        <v>0</v>
      </c>
      <c r="AG20">
        <v>0</v>
      </c>
      <c r="AH20">
        <v>0</v>
      </c>
      <c r="AI20">
        <v>7.5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0</v>
      </c>
      <c r="AU20" t="s">
        <v>6</v>
      </c>
      <c r="AV20">
        <v>0</v>
      </c>
      <c r="AW20">
        <v>2</v>
      </c>
      <c r="AX20">
        <v>34650075</v>
      </c>
      <c r="AY20">
        <v>1</v>
      </c>
      <c r="AZ20">
        <v>6144</v>
      </c>
      <c r="BA20">
        <v>13</v>
      </c>
      <c r="BB20">
        <v>3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Y20*Source!I39</f>
        <v>0</v>
      </c>
      <c r="CY20">
        <f>AA20</f>
        <v>230.55</v>
      </c>
      <c r="CZ20">
        <f>AE20</f>
        <v>30.74</v>
      </c>
      <c r="DA20">
        <f>AI20</f>
        <v>7.5</v>
      </c>
      <c r="DB20">
        <v>0</v>
      </c>
    </row>
    <row r="21" spans="1:106" x14ac:dyDescent="0.2">
      <c r="A21">
        <f>ROW(Source!A39)</f>
        <v>39</v>
      </c>
      <c r="B21">
        <v>34649991</v>
      </c>
      <c r="C21">
        <v>34650068</v>
      </c>
      <c r="D21">
        <v>31443668</v>
      </c>
      <c r="E21">
        <v>17</v>
      </c>
      <c r="F21">
        <v>1</v>
      </c>
      <c r="G21">
        <v>1</v>
      </c>
      <c r="H21">
        <v>3</v>
      </c>
      <c r="I21" t="s">
        <v>69</v>
      </c>
      <c r="J21" t="s">
        <v>6</v>
      </c>
      <c r="K21" t="s">
        <v>70</v>
      </c>
      <c r="L21">
        <v>1374</v>
      </c>
      <c r="N21">
        <v>1013</v>
      </c>
      <c r="O21" t="s">
        <v>71</v>
      </c>
      <c r="P21" t="s">
        <v>71</v>
      </c>
      <c r="Q21">
        <v>1</v>
      </c>
      <c r="W21">
        <v>0</v>
      </c>
      <c r="X21">
        <v>-1731369543</v>
      </c>
      <c r="Y21">
        <v>0</v>
      </c>
      <c r="AA21">
        <v>7.5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7.5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0</v>
      </c>
      <c r="AU21" t="s">
        <v>6</v>
      </c>
      <c r="AV21">
        <v>0</v>
      </c>
      <c r="AW21">
        <v>2</v>
      </c>
      <c r="AX21">
        <v>34650076</v>
      </c>
      <c r="AY21">
        <v>1</v>
      </c>
      <c r="AZ21">
        <v>6144</v>
      </c>
      <c r="BA21">
        <v>14</v>
      </c>
      <c r="BB21">
        <v>3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Y21*Source!I39</f>
        <v>0</v>
      </c>
      <c r="CY21">
        <f>AA21</f>
        <v>7.5</v>
      </c>
      <c r="CZ21">
        <f>AE21</f>
        <v>1</v>
      </c>
      <c r="DA21">
        <f>AI21</f>
        <v>7.5</v>
      </c>
      <c r="DB21">
        <v>0</v>
      </c>
    </row>
    <row r="22" spans="1:106" x14ac:dyDescent="0.2">
      <c r="A22">
        <f>ROW(Source!A39)</f>
        <v>39</v>
      </c>
      <c r="B22">
        <v>34649991</v>
      </c>
      <c r="C22">
        <v>34650068</v>
      </c>
      <c r="D22">
        <v>0</v>
      </c>
      <c r="E22">
        <v>0</v>
      </c>
      <c r="F22">
        <v>1</v>
      </c>
      <c r="G22">
        <v>1</v>
      </c>
      <c r="H22">
        <v>3</v>
      </c>
      <c r="I22" t="s">
        <v>28</v>
      </c>
      <c r="J22" t="s">
        <v>61</v>
      </c>
      <c r="K22" t="s">
        <v>59</v>
      </c>
      <c r="L22">
        <v>1301</v>
      </c>
      <c r="N22">
        <v>1003</v>
      </c>
      <c r="O22" t="s">
        <v>60</v>
      </c>
      <c r="P22" t="s">
        <v>60</v>
      </c>
      <c r="Q22">
        <v>1</v>
      </c>
      <c r="W22">
        <v>0</v>
      </c>
      <c r="X22">
        <v>-1948848067</v>
      </c>
      <c r="Y22">
        <v>100</v>
      </c>
      <c r="AA22">
        <v>19.760000000000002</v>
      </c>
      <c r="AB22">
        <v>0</v>
      </c>
      <c r="AC22">
        <v>0</v>
      </c>
      <c r="AD22">
        <v>0</v>
      </c>
      <c r="AE22">
        <v>2.63</v>
      </c>
      <c r="AF22">
        <v>0</v>
      </c>
      <c r="AG22">
        <v>0</v>
      </c>
      <c r="AH22">
        <v>0</v>
      </c>
      <c r="AI22">
        <v>7.5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100</v>
      </c>
      <c r="AU22" t="s">
        <v>6</v>
      </c>
      <c r="AV22">
        <v>0</v>
      </c>
      <c r="AW22">
        <v>1</v>
      </c>
      <c r="AX22">
        <v>-1</v>
      </c>
      <c r="AY22">
        <v>0</v>
      </c>
      <c r="AZ22">
        <v>0</v>
      </c>
      <c r="BA22" t="s">
        <v>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Y22*Source!I39</f>
        <v>305</v>
      </c>
      <c r="CY22">
        <f>AA22</f>
        <v>19.760000000000002</v>
      </c>
      <c r="CZ22">
        <f>AE22</f>
        <v>2.63</v>
      </c>
      <c r="DA22">
        <f>AI22</f>
        <v>7.5</v>
      </c>
      <c r="DB22">
        <v>0</v>
      </c>
    </row>
    <row r="23" spans="1:106" x14ac:dyDescent="0.2">
      <c r="A23">
        <f>ROW(Source!A46)</f>
        <v>46</v>
      </c>
      <c r="B23">
        <v>34649990</v>
      </c>
      <c r="C23">
        <v>34650080</v>
      </c>
      <c r="D23">
        <v>31715651</v>
      </c>
      <c r="E23">
        <v>1</v>
      </c>
      <c r="F23">
        <v>1</v>
      </c>
      <c r="G23">
        <v>1</v>
      </c>
      <c r="H23">
        <v>1</v>
      </c>
      <c r="I23" t="s">
        <v>208</v>
      </c>
      <c r="J23" t="s">
        <v>6</v>
      </c>
      <c r="K23" t="s">
        <v>209</v>
      </c>
      <c r="L23">
        <v>1191</v>
      </c>
      <c r="N23">
        <v>1013</v>
      </c>
      <c r="O23" t="s">
        <v>205</v>
      </c>
      <c r="P23" t="s">
        <v>205</v>
      </c>
      <c r="Q23">
        <v>1</v>
      </c>
      <c r="W23">
        <v>0</v>
      </c>
      <c r="X23">
        <v>1069510174</v>
      </c>
      <c r="Y23">
        <v>9.6</v>
      </c>
      <c r="AA23">
        <v>0</v>
      </c>
      <c r="AB23">
        <v>0</v>
      </c>
      <c r="AC23">
        <v>0</v>
      </c>
      <c r="AD23">
        <v>9.6199999999999992</v>
      </c>
      <c r="AE23">
        <v>0</v>
      </c>
      <c r="AF23">
        <v>0</v>
      </c>
      <c r="AG23">
        <v>0</v>
      </c>
      <c r="AH23">
        <v>9.6199999999999992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6</v>
      </c>
      <c r="AT23">
        <v>9.6</v>
      </c>
      <c r="AU23" t="s">
        <v>6</v>
      </c>
      <c r="AV23">
        <v>1</v>
      </c>
      <c r="AW23">
        <v>2</v>
      </c>
      <c r="AX23">
        <v>34650083</v>
      </c>
      <c r="AY23">
        <v>1</v>
      </c>
      <c r="AZ23">
        <v>0</v>
      </c>
      <c r="BA23">
        <v>15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Y23*Source!I46</f>
        <v>3.5520000000000003E-2</v>
      </c>
      <c r="CY23">
        <f>AD23</f>
        <v>9.6199999999999992</v>
      </c>
      <c r="CZ23">
        <f>AH23</f>
        <v>9.6199999999999992</v>
      </c>
      <c r="DA23">
        <f>AL23</f>
        <v>1</v>
      </c>
      <c r="DB23">
        <v>0</v>
      </c>
    </row>
    <row r="24" spans="1:106" x14ac:dyDescent="0.2">
      <c r="A24">
        <f>ROW(Source!A46)</f>
        <v>46</v>
      </c>
      <c r="B24">
        <v>34649990</v>
      </c>
      <c r="C24">
        <v>34650080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69</v>
      </c>
      <c r="J24" t="s">
        <v>6</v>
      </c>
      <c r="K24" t="s">
        <v>70</v>
      </c>
      <c r="L24">
        <v>1374</v>
      </c>
      <c r="N24">
        <v>1013</v>
      </c>
      <c r="O24" t="s">
        <v>71</v>
      </c>
      <c r="P24" t="s">
        <v>71</v>
      </c>
      <c r="Q24">
        <v>1</v>
      </c>
      <c r="W24">
        <v>0</v>
      </c>
      <c r="X24">
        <v>-1731369543</v>
      </c>
      <c r="Y24">
        <v>0</v>
      </c>
      <c r="AA24">
        <v>1</v>
      </c>
      <c r="AB24">
        <v>0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34650084</v>
      </c>
      <c r="AY24">
        <v>1</v>
      </c>
      <c r="AZ24">
        <v>6144</v>
      </c>
      <c r="BA24">
        <v>16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Y24*Source!I46</f>
        <v>0</v>
      </c>
      <c r="CY24">
        <f>AA24</f>
        <v>1</v>
      </c>
      <c r="CZ24">
        <f>AE24</f>
        <v>1</v>
      </c>
      <c r="DA24">
        <f>AI24</f>
        <v>1</v>
      </c>
      <c r="DB24">
        <v>0</v>
      </c>
    </row>
    <row r="25" spans="1:106" x14ac:dyDescent="0.2">
      <c r="A25">
        <f>ROW(Source!A47)</f>
        <v>47</v>
      </c>
      <c r="B25">
        <v>34649991</v>
      </c>
      <c r="C25">
        <v>34650080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208</v>
      </c>
      <c r="J25" t="s">
        <v>6</v>
      </c>
      <c r="K25" t="s">
        <v>209</v>
      </c>
      <c r="L25">
        <v>1191</v>
      </c>
      <c r="N25">
        <v>1013</v>
      </c>
      <c r="O25" t="s">
        <v>205</v>
      </c>
      <c r="P25" t="s">
        <v>205</v>
      </c>
      <c r="Q25">
        <v>1</v>
      </c>
      <c r="W25">
        <v>0</v>
      </c>
      <c r="X25">
        <v>1069510174</v>
      </c>
      <c r="Y25">
        <v>9.6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6</v>
      </c>
      <c r="AT25">
        <v>9.6</v>
      </c>
      <c r="AU25" t="s">
        <v>6</v>
      </c>
      <c r="AV25">
        <v>1</v>
      </c>
      <c r="AW25">
        <v>2</v>
      </c>
      <c r="AX25">
        <v>34650083</v>
      </c>
      <c r="AY25">
        <v>1</v>
      </c>
      <c r="AZ25">
        <v>0</v>
      </c>
      <c r="BA25">
        <v>17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Y25*Source!I47</f>
        <v>3.5520000000000003E-2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ROW(Source!A47)</f>
        <v>47</v>
      </c>
      <c r="B26">
        <v>34649991</v>
      </c>
      <c r="C26">
        <v>34650080</v>
      </c>
      <c r="D26">
        <v>31443668</v>
      </c>
      <c r="E26">
        <v>17</v>
      </c>
      <c r="F26">
        <v>1</v>
      </c>
      <c r="G26">
        <v>1</v>
      </c>
      <c r="H26">
        <v>3</v>
      </c>
      <c r="I26" t="s">
        <v>69</v>
      </c>
      <c r="J26" t="s">
        <v>6</v>
      </c>
      <c r="K26" t="s">
        <v>70</v>
      </c>
      <c r="L26">
        <v>1374</v>
      </c>
      <c r="N26">
        <v>1013</v>
      </c>
      <c r="O26" t="s">
        <v>71</v>
      </c>
      <c r="P26" t="s">
        <v>71</v>
      </c>
      <c r="Q26">
        <v>1</v>
      </c>
      <c r="W26">
        <v>0</v>
      </c>
      <c r="X26">
        <v>-1731369543</v>
      </c>
      <c r="Y26">
        <v>0</v>
      </c>
      <c r="AA26">
        <v>7.5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0</v>
      </c>
      <c r="AU26" t="s">
        <v>6</v>
      </c>
      <c r="AV26">
        <v>0</v>
      </c>
      <c r="AW26">
        <v>2</v>
      </c>
      <c r="AX26">
        <v>34650084</v>
      </c>
      <c r="AY26">
        <v>1</v>
      </c>
      <c r="AZ26">
        <v>6144</v>
      </c>
      <c r="BA26">
        <v>18</v>
      </c>
      <c r="BB26">
        <v>3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Y26*Source!I47</f>
        <v>0</v>
      </c>
      <c r="CY26">
        <f>AA26</f>
        <v>7.5</v>
      </c>
      <c r="CZ26">
        <f>AE26</f>
        <v>1</v>
      </c>
      <c r="DA26">
        <f>AI26</f>
        <v>7.5</v>
      </c>
      <c r="DB26">
        <v>0</v>
      </c>
    </row>
    <row r="27" spans="1:106" x14ac:dyDescent="0.2">
      <c r="A27">
        <f>ROW(Source!A50)</f>
        <v>50</v>
      </c>
      <c r="B27">
        <v>34649990</v>
      </c>
      <c r="C27">
        <v>34665227</v>
      </c>
      <c r="D27">
        <v>32163921</v>
      </c>
      <c r="E27">
        <v>1</v>
      </c>
      <c r="F27">
        <v>1</v>
      </c>
      <c r="G27">
        <v>1</v>
      </c>
      <c r="H27">
        <v>1</v>
      </c>
      <c r="I27" t="s">
        <v>210</v>
      </c>
      <c r="J27" t="s">
        <v>6</v>
      </c>
      <c r="K27" t="s">
        <v>211</v>
      </c>
      <c r="L27">
        <v>1191</v>
      </c>
      <c r="N27">
        <v>1013</v>
      </c>
      <c r="O27" t="s">
        <v>205</v>
      </c>
      <c r="P27" t="s">
        <v>205</v>
      </c>
      <c r="Q27">
        <v>1</v>
      </c>
      <c r="W27">
        <v>0</v>
      </c>
      <c r="X27">
        <v>1688654847</v>
      </c>
      <c r="Y27">
        <v>3.25</v>
      </c>
      <c r="AA27">
        <v>0</v>
      </c>
      <c r="AB27">
        <v>0</v>
      </c>
      <c r="AC27">
        <v>0</v>
      </c>
      <c r="AD27">
        <v>10.210000000000001</v>
      </c>
      <c r="AE27">
        <v>0</v>
      </c>
      <c r="AF27">
        <v>0</v>
      </c>
      <c r="AG27">
        <v>0</v>
      </c>
      <c r="AH27">
        <v>10.210000000000001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3.25</v>
      </c>
      <c r="AU27" t="s">
        <v>6</v>
      </c>
      <c r="AV27">
        <v>1</v>
      </c>
      <c r="AW27">
        <v>2</v>
      </c>
      <c r="AX27">
        <v>34665261</v>
      </c>
      <c r="AY27">
        <v>1</v>
      </c>
      <c r="AZ27">
        <v>0</v>
      </c>
      <c r="BA27">
        <v>19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Y27*Source!I50</f>
        <v>1.62825</v>
      </c>
      <c r="CY27">
        <f t="shared" ref="CY27:CY36" si="6">AD27</f>
        <v>10.210000000000001</v>
      </c>
      <c r="CZ27">
        <f t="shared" ref="CZ27:CZ36" si="7">AH27</f>
        <v>10.210000000000001</v>
      </c>
      <c r="DA27">
        <f t="shared" ref="DA27:DA36" si="8">AL27</f>
        <v>1</v>
      </c>
      <c r="DB27">
        <v>0</v>
      </c>
    </row>
    <row r="28" spans="1:106" x14ac:dyDescent="0.2">
      <c r="A28">
        <f>ROW(Source!A50)</f>
        <v>50</v>
      </c>
      <c r="B28">
        <v>34649990</v>
      </c>
      <c r="C28">
        <v>34665227</v>
      </c>
      <c r="D28">
        <v>32159941</v>
      </c>
      <c r="E28">
        <v>1</v>
      </c>
      <c r="F28">
        <v>1</v>
      </c>
      <c r="G28">
        <v>1</v>
      </c>
      <c r="H28">
        <v>1</v>
      </c>
      <c r="I28" t="s">
        <v>212</v>
      </c>
      <c r="J28" t="s">
        <v>6</v>
      </c>
      <c r="K28" t="s">
        <v>213</v>
      </c>
      <c r="L28">
        <v>1191</v>
      </c>
      <c r="N28">
        <v>1013</v>
      </c>
      <c r="O28" t="s">
        <v>205</v>
      </c>
      <c r="P28" t="s">
        <v>205</v>
      </c>
      <c r="Q28">
        <v>1</v>
      </c>
      <c r="W28">
        <v>0</v>
      </c>
      <c r="X28">
        <v>1675274105</v>
      </c>
      <c r="Y28">
        <v>6.5</v>
      </c>
      <c r="AA28">
        <v>0</v>
      </c>
      <c r="AB28">
        <v>0</v>
      </c>
      <c r="AC28">
        <v>0</v>
      </c>
      <c r="AD28">
        <v>16.93</v>
      </c>
      <c r="AE28">
        <v>0</v>
      </c>
      <c r="AF28">
        <v>0</v>
      </c>
      <c r="AG28">
        <v>0</v>
      </c>
      <c r="AH28">
        <v>16.93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6.5</v>
      </c>
      <c r="AU28" t="s">
        <v>6</v>
      </c>
      <c r="AV28">
        <v>1</v>
      </c>
      <c r="AW28">
        <v>2</v>
      </c>
      <c r="AX28">
        <v>34665262</v>
      </c>
      <c r="AY28">
        <v>1</v>
      </c>
      <c r="AZ28">
        <v>0</v>
      </c>
      <c r="BA28">
        <v>20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Y28*Source!I50</f>
        <v>3.2565</v>
      </c>
      <c r="CY28">
        <f t="shared" si="6"/>
        <v>16.93</v>
      </c>
      <c r="CZ28">
        <f t="shared" si="7"/>
        <v>16.93</v>
      </c>
      <c r="DA28">
        <f t="shared" si="8"/>
        <v>1</v>
      </c>
      <c r="DB28">
        <v>0</v>
      </c>
    </row>
    <row r="29" spans="1:106" x14ac:dyDescent="0.2">
      <c r="A29">
        <f>ROW(Source!A50)</f>
        <v>50</v>
      </c>
      <c r="B29">
        <v>34649990</v>
      </c>
      <c r="C29">
        <v>34665227</v>
      </c>
      <c r="D29">
        <v>32000304</v>
      </c>
      <c r="E29">
        <v>1</v>
      </c>
      <c r="F29">
        <v>1</v>
      </c>
      <c r="G29">
        <v>1</v>
      </c>
      <c r="H29">
        <v>1</v>
      </c>
      <c r="I29" t="s">
        <v>214</v>
      </c>
      <c r="J29" t="s">
        <v>6</v>
      </c>
      <c r="K29" t="s">
        <v>215</v>
      </c>
      <c r="L29">
        <v>1191</v>
      </c>
      <c r="N29">
        <v>1013</v>
      </c>
      <c r="O29" t="s">
        <v>205</v>
      </c>
      <c r="P29" t="s">
        <v>205</v>
      </c>
      <c r="Q29">
        <v>1</v>
      </c>
      <c r="W29">
        <v>0</v>
      </c>
      <c r="X29">
        <v>-1481893445</v>
      </c>
      <c r="Y29">
        <v>13</v>
      </c>
      <c r="AA29">
        <v>0</v>
      </c>
      <c r="AB29">
        <v>0</v>
      </c>
      <c r="AC29">
        <v>0</v>
      </c>
      <c r="AD29">
        <v>15.49</v>
      </c>
      <c r="AE29">
        <v>0</v>
      </c>
      <c r="AF29">
        <v>0</v>
      </c>
      <c r="AG29">
        <v>0</v>
      </c>
      <c r="AH29">
        <v>15.49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13</v>
      </c>
      <c r="AU29" t="s">
        <v>6</v>
      </c>
      <c r="AV29">
        <v>1</v>
      </c>
      <c r="AW29">
        <v>2</v>
      </c>
      <c r="AX29">
        <v>34665263</v>
      </c>
      <c r="AY29">
        <v>1</v>
      </c>
      <c r="AZ29">
        <v>0</v>
      </c>
      <c r="BA29">
        <v>21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Y29*Source!I50</f>
        <v>6.5129999999999999</v>
      </c>
      <c r="CY29">
        <f t="shared" si="6"/>
        <v>15.49</v>
      </c>
      <c r="CZ29">
        <f t="shared" si="7"/>
        <v>15.49</v>
      </c>
      <c r="DA29">
        <f t="shared" si="8"/>
        <v>1</v>
      </c>
      <c r="DB29">
        <v>0</v>
      </c>
    </row>
    <row r="30" spans="1:106" x14ac:dyDescent="0.2">
      <c r="A30">
        <f>ROW(Source!A50)</f>
        <v>50</v>
      </c>
      <c r="B30">
        <v>34649990</v>
      </c>
      <c r="C30">
        <v>34665227</v>
      </c>
      <c r="D30">
        <v>32003081</v>
      </c>
      <c r="E30">
        <v>1</v>
      </c>
      <c r="F30">
        <v>1</v>
      </c>
      <c r="G30">
        <v>1</v>
      </c>
      <c r="H30">
        <v>1</v>
      </c>
      <c r="I30" t="s">
        <v>216</v>
      </c>
      <c r="J30" t="s">
        <v>6</v>
      </c>
      <c r="K30" t="s">
        <v>217</v>
      </c>
      <c r="L30">
        <v>1191</v>
      </c>
      <c r="N30">
        <v>1013</v>
      </c>
      <c r="O30" t="s">
        <v>205</v>
      </c>
      <c r="P30" t="s">
        <v>205</v>
      </c>
      <c r="Q30">
        <v>1</v>
      </c>
      <c r="W30">
        <v>0</v>
      </c>
      <c r="X30">
        <v>1658205574</v>
      </c>
      <c r="Y30">
        <v>29.25</v>
      </c>
      <c r="AA30">
        <v>0</v>
      </c>
      <c r="AB30">
        <v>0</v>
      </c>
      <c r="AC30">
        <v>0</v>
      </c>
      <c r="AD30">
        <v>14.09</v>
      </c>
      <c r="AE30">
        <v>0</v>
      </c>
      <c r="AF30">
        <v>0</v>
      </c>
      <c r="AG30">
        <v>0</v>
      </c>
      <c r="AH30">
        <v>14.09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29.25</v>
      </c>
      <c r="AU30" t="s">
        <v>6</v>
      </c>
      <c r="AV30">
        <v>1</v>
      </c>
      <c r="AW30">
        <v>2</v>
      </c>
      <c r="AX30">
        <v>34665264</v>
      </c>
      <c r="AY30">
        <v>1</v>
      </c>
      <c r="AZ30">
        <v>0</v>
      </c>
      <c r="BA30">
        <v>22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Y30*Source!I50</f>
        <v>14.654249999999999</v>
      </c>
      <c r="CY30">
        <f t="shared" si="6"/>
        <v>14.09</v>
      </c>
      <c r="CZ30">
        <f t="shared" si="7"/>
        <v>14.09</v>
      </c>
      <c r="DA30">
        <f t="shared" si="8"/>
        <v>1</v>
      </c>
      <c r="DB30">
        <v>0</v>
      </c>
    </row>
    <row r="31" spans="1:106" x14ac:dyDescent="0.2">
      <c r="A31">
        <f>ROW(Source!A50)</f>
        <v>50</v>
      </c>
      <c r="B31">
        <v>34649990</v>
      </c>
      <c r="C31">
        <v>34665227</v>
      </c>
      <c r="D31">
        <v>32159989</v>
      </c>
      <c r="E31">
        <v>1</v>
      </c>
      <c r="F31">
        <v>1</v>
      </c>
      <c r="G31">
        <v>1</v>
      </c>
      <c r="H31">
        <v>1</v>
      </c>
      <c r="I31" t="s">
        <v>218</v>
      </c>
      <c r="J31" t="s">
        <v>6</v>
      </c>
      <c r="K31" t="s">
        <v>219</v>
      </c>
      <c r="L31">
        <v>1191</v>
      </c>
      <c r="N31">
        <v>1013</v>
      </c>
      <c r="O31" t="s">
        <v>205</v>
      </c>
      <c r="P31" t="s">
        <v>205</v>
      </c>
      <c r="Q31">
        <v>1</v>
      </c>
      <c r="W31">
        <v>0</v>
      </c>
      <c r="X31">
        <v>848708738</v>
      </c>
      <c r="Y31">
        <v>13</v>
      </c>
      <c r="AA31">
        <v>0</v>
      </c>
      <c r="AB31">
        <v>0</v>
      </c>
      <c r="AC31">
        <v>0</v>
      </c>
      <c r="AD31">
        <v>12.69</v>
      </c>
      <c r="AE31">
        <v>0</v>
      </c>
      <c r="AF31">
        <v>0</v>
      </c>
      <c r="AG31">
        <v>0</v>
      </c>
      <c r="AH31">
        <v>12.69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13</v>
      </c>
      <c r="AU31" t="s">
        <v>6</v>
      </c>
      <c r="AV31">
        <v>1</v>
      </c>
      <c r="AW31">
        <v>2</v>
      </c>
      <c r="AX31">
        <v>34665265</v>
      </c>
      <c r="AY31">
        <v>1</v>
      </c>
      <c r="AZ31">
        <v>0</v>
      </c>
      <c r="BA31">
        <v>23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Y31*Source!I50</f>
        <v>6.5129999999999999</v>
      </c>
      <c r="CY31">
        <f t="shared" si="6"/>
        <v>12.69</v>
      </c>
      <c r="CZ31">
        <f t="shared" si="7"/>
        <v>12.69</v>
      </c>
      <c r="DA31">
        <f t="shared" si="8"/>
        <v>1</v>
      </c>
      <c r="DB31">
        <v>0</v>
      </c>
    </row>
    <row r="32" spans="1:106" x14ac:dyDescent="0.2">
      <c r="A32">
        <f>ROW(Source!A51)</f>
        <v>51</v>
      </c>
      <c r="B32">
        <v>34649991</v>
      </c>
      <c r="C32">
        <v>34665227</v>
      </c>
      <c r="D32">
        <v>32163921</v>
      </c>
      <c r="E32">
        <v>1</v>
      </c>
      <c r="F32">
        <v>1</v>
      </c>
      <c r="G32">
        <v>1</v>
      </c>
      <c r="H32">
        <v>1</v>
      </c>
      <c r="I32" t="s">
        <v>210</v>
      </c>
      <c r="J32" t="s">
        <v>6</v>
      </c>
      <c r="K32" t="s">
        <v>211</v>
      </c>
      <c r="L32">
        <v>1191</v>
      </c>
      <c r="N32">
        <v>1013</v>
      </c>
      <c r="O32" t="s">
        <v>205</v>
      </c>
      <c r="P32" t="s">
        <v>205</v>
      </c>
      <c r="Q32">
        <v>1</v>
      </c>
      <c r="W32">
        <v>0</v>
      </c>
      <c r="X32">
        <v>1688654847</v>
      </c>
      <c r="Y32">
        <v>3.25</v>
      </c>
      <c r="AA32">
        <v>0</v>
      </c>
      <c r="AB32">
        <v>0</v>
      </c>
      <c r="AC32">
        <v>0</v>
      </c>
      <c r="AD32">
        <v>186.84</v>
      </c>
      <c r="AE32">
        <v>0</v>
      </c>
      <c r="AF32">
        <v>0</v>
      </c>
      <c r="AG32">
        <v>0</v>
      </c>
      <c r="AH32">
        <v>10.210000000000001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3.25</v>
      </c>
      <c r="AU32" t="s">
        <v>6</v>
      </c>
      <c r="AV32">
        <v>1</v>
      </c>
      <c r="AW32">
        <v>2</v>
      </c>
      <c r="AX32">
        <v>34665261</v>
      </c>
      <c r="AY32">
        <v>1</v>
      </c>
      <c r="AZ32">
        <v>0</v>
      </c>
      <c r="BA32">
        <v>24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Y32*Source!I51</f>
        <v>1.62825</v>
      </c>
      <c r="CY32">
        <f t="shared" si="6"/>
        <v>186.84</v>
      </c>
      <c r="CZ32">
        <f t="shared" si="7"/>
        <v>10.210000000000001</v>
      </c>
      <c r="DA32">
        <f t="shared" si="8"/>
        <v>18.3</v>
      </c>
      <c r="DB32">
        <v>0</v>
      </c>
    </row>
    <row r="33" spans="1:106" x14ac:dyDescent="0.2">
      <c r="A33">
        <f>ROW(Source!A51)</f>
        <v>51</v>
      </c>
      <c r="B33">
        <v>34649991</v>
      </c>
      <c r="C33">
        <v>34665227</v>
      </c>
      <c r="D33">
        <v>32159941</v>
      </c>
      <c r="E33">
        <v>1</v>
      </c>
      <c r="F33">
        <v>1</v>
      </c>
      <c r="G33">
        <v>1</v>
      </c>
      <c r="H33">
        <v>1</v>
      </c>
      <c r="I33" t="s">
        <v>212</v>
      </c>
      <c r="J33" t="s">
        <v>6</v>
      </c>
      <c r="K33" t="s">
        <v>213</v>
      </c>
      <c r="L33">
        <v>1191</v>
      </c>
      <c r="N33">
        <v>1013</v>
      </c>
      <c r="O33" t="s">
        <v>205</v>
      </c>
      <c r="P33" t="s">
        <v>205</v>
      </c>
      <c r="Q33">
        <v>1</v>
      </c>
      <c r="W33">
        <v>0</v>
      </c>
      <c r="X33">
        <v>1675274105</v>
      </c>
      <c r="Y33">
        <v>6.5</v>
      </c>
      <c r="AA33">
        <v>0</v>
      </c>
      <c r="AB33">
        <v>0</v>
      </c>
      <c r="AC33">
        <v>0</v>
      </c>
      <c r="AD33">
        <v>309.82</v>
      </c>
      <c r="AE33">
        <v>0</v>
      </c>
      <c r="AF33">
        <v>0</v>
      </c>
      <c r="AG33">
        <v>0</v>
      </c>
      <c r="AH33">
        <v>16.93</v>
      </c>
      <c r="AI33">
        <v>1</v>
      </c>
      <c r="AJ33">
        <v>1</v>
      </c>
      <c r="AK33">
        <v>1</v>
      </c>
      <c r="AL33">
        <v>18.3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6.5</v>
      </c>
      <c r="AU33" t="s">
        <v>6</v>
      </c>
      <c r="AV33">
        <v>1</v>
      </c>
      <c r="AW33">
        <v>2</v>
      </c>
      <c r="AX33">
        <v>34665262</v>
      </c>
      <c r="AY33">
        <v>1</v>
      </c>
      <c r="AZ33">
        <v>0</v>
      </c>
      <c r="BA33">
        <v>25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Y33*Source!I51</f>
        <v>3.2565</v>
      </c>
      <c r="CY33">
        <f t="shared" si="6"/>
        <v>309.82</v>
      </c>
      <c r="CZ33">
        <f t="shared" si="7"/>
        <v>16.93</v>
      </c>
      <c r="DA33">
        <f t="shared" si="8"/>
        <v>18.3</v>
      </c>
      <c r="DB33">
        <v>0</v>
      </c>
    </row>
    <row r="34" spans="1:106" x14ac:dyDescent="0.2">
      <c r="A34">
        <f>ROW(Source!A51)</f>
        <v>51</v>
      </c>
      <c r="B34">
        <v>34649991</v>
      </c>
      <c r="C34">
        <v>34665227</v>
      </c>
      <c r="D34">
        <v>32000304</v>
      </c>
      <c r="E34">
        <v>1</v>
      </c>
      <c r="F34">
        <v>1</v>
      </c>
      <c r="G34">
        <v>1</v>
      </c>
      <c r="H34">
        <v>1</v>
      </c>
      <c r="I34" t="s">
        <v>214</v>
      </c>
      <c r="J34" t="s">
        <v>6</v>
      </c>
      <c r="K34" t="s">
        <v>215</v>
      </c>
      <c r="L34">
        <v>1191</v>
      </c>
      <c r="N34">
        <v>1013</v>
      </c>
      <c r="O34" t="s">
        <v>205</v>
      </c>
      <c r="P34" t="s">
        <v>205</v>
      </c>
      <c r="Q34">
        <v>1</v>
      </c>
      <c r="W34">
        <v>0</v>
      </c>
      <c r="X34">
        <v>-1481893445</v>
      </c>
      <c r="Y34">
        <v>13</v>
      </c>
      <c r="AA34">
        <v>0</v>
      </c>
      <c r="AB34">
        <v>0</v>
      </c>
      <c r="AC34">
        <v>0</v>
      </c>
      <c r="AD34">
        <v>283.47000000000003</v>
      </c>
      <c r="AE34">
        <v>0</v>
      </c>
      <c r="AF34">
        <v>0</v>
      </c>
      <c r="AG34">
        <v>0</v>
      </c>
      <c r="AH34">
        <v>15.49</v>
      </c>
      <c r="AI34">
        <v>1</v>
      </c>
      <c r="AJ34">
        <v>1</v>
      </c>
      <c r="AK34">
        <v>1</v>
      </c>
      <c r="AL34">
        <v>18.3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13</v>
      </c>
      <c r="AU34" t="s">
        <v>6</v>
      </c>
      <c r="AV34">
        <v>1</v>
      </c>
      <c r="AW34">
        <v>2</v>
      </c>
      <c r="AX34">
        <v>34665263</v>
      </c>
      <c r="AY34">
        <v>1</v>
      </c>
      <c r="AZ34">
        <v>0</v>
      </c>
      <c r="BA34">
        <v>26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Y34*Source!I51</f>
        <v>6.5129999999999999</v>
      </c>
      <c r="CY34">
        <f t="shared" si="6"/>
        <v>283.47000000000003</v>
      </c>
      <c r="CZ34">
        <f t="shared" si="7"/>
        <v>15.49</v>
      </c>
      <c r="DA34">
        <f t="shared" si="8"/>
        <v>18.3</v>
      </c>
      <c r="DB34">
        <v>0</v>
      </c>
    </row>
    <row r="35" spans="1:106" x14ac:dyDescent="0.2">
      <c r="A35">
        <f>ROW(Source!A51)</f>
        <v>51</v>
      </c>
      <c r="B35">
        <v>34649991</v>
      </c>
      <c r="C35">
        <v>34665227</v>
      </c>
      <c r="D35">
        <v>32003081</v>
      </c>
      <c r="E35">
        <v>1</v>
      </c>
      <c r="F35">
        <v>1</v>
      </c>
      <c r="G35">
        <v>1</v>
      </c>
      <c r="H35">
        <v>1</v>
      </c>
      <c r="I35" t="s">
        <v>216</v>
      </c>
      <c r="J35" t="s">
        <v>6</v>
      </c>
      <c r="K35" t="s">
        <v>217</v>
      </c>
      <c r="L35">
        <v>1191</v>
      </c>
      <c r="N35">
        <v>1013</v>
      </c>
      <c r="O35" t="s">
        <v>205</v>
      </c>
      <c r="P35" t="s">
        <v>205</v>
      </c>
      <c r="Q35">
        <v>1</v>
      </c>
      <c r="W35">
        <v>0</v>
      </c>
      <c r="X35">
        <v>1658205574</v>
      </c>
      <c r="Y35">
        <v>29.25</v>
      </c>
      <c r="AA35">
        <v>0</v>
      </c>
      <c r="AB35">
        <v>0</v>
      </c>
      <c r="AC35">
        <v>0</v>
      </c>
      <c r="AD35">
        <v>257.85000000000002</v>
      </c>
      <c r="AE35">
        <v>0</v>
      </c>
      <c r="AF35">
        <v>0</v>
      </c>
      <c r="AG35">
        <v>0</v>
      </c>
      <c r="AH35">
        <v>14.09</v>
      </c>
      <c r="AI35">
        <v>1</v>
      </c>
      <c r="AJ35">
        <v>1</v>
      </c>
      <c r="AK35">
        <v>1</v>
      </c>
      <c r="AL35">
        <v>18.3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29.25</v>
      </c>
      <c r="AU35" t="s">
        <v>6</v>
      </c>
      <c r="AV35">
        <v>1</v>
      </c>
      <c r="AW35">
        <v>2</v>
      </c>
      <c r="AX35">
        <v>34665264</v>
      </c>
      <c r="AY35">
        <v>1</v>
      </c>
      <c r="AZ35">
        <v>0</v>
      </c>
      <c r="BA35">
        <v>27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Y35*Source!I51</f>
        <v>14.654249999999999</v>
      </c>
      <c r="CY35">
        <f t="shared" si="6"/>
        <v>257.85000000000002</v>
      </c>
      <c r="CZ35">
        <f t="shared" si="7"/>
        <v>14.09</v>
      </c>
      <c r="DA35">
        <f t="shared" si="8"/>
        <v>18.3</v>
      </c>
      <c r="DB35">
        <v>0</v>
      </c>
    </row>
    <row r="36" spans="1:106" x14ac:dyDescent="0.2">
      <c r="A36">
        <f>ROW(Source!A51)</f>
        <v>51</v>
      </c>
      <c r="B36">
        <v>34649991</v>
      </c>
      <c r="C36">
        <v>34665227</v>
      </c>
      <c r="D36">
        <v>32159989</v>
      </c>
      <c r="E36">
        <v>1</v>
      </c>
      <c r="F36">
        <v>1</v>
      </c>
      <c r="G36">
        <v>1</v>
      </c>
      <c r="H36">
        <v>1</v>
      </c>
      <c r="I36" t="s">
        <v>218</v>
      </c>
      <c r="J36" t="s">
        <v>6</v>
      </c>
      <c r="K36" t="s">
        <v>219</v>
      </c>
      <c r="L36">
        <v>1191</v>
      </c>
      <c r="N36">
        <v>1013</v>
      </c>
      <c r="O36" t="s">
        <v>205</v>
      </c>
      <c r="P36" t="s">
        <v>205</v>
      </c>
      <c r="Q36">
        <v>1</v>
      </c>
      <c r="W36">
        <v>0</v>
      </c>
      <c r="X36">
        <v>848708738</v>
      </c>
      <c r="Y36">
        <v>13</v>
      </c>
      <c r="AA36">
        <v>0</v>
      </c>
      <c r="AB36">
        <v>0</v>
      </c>
      <c r="AC36">
        <v>0</v>
      </c>
      <c r="AD36">
        <v>232.23</v>
      </c>
      <c r="AE36">
        <v>0</v>
      </c>
      <c r="AF36">
        <v>0</v>
      </c>
      <c r="AG36">
        <v>0</v>
      </c>
      <c r="AH36">
        <v>12.69</v>
      </c>
      <c r="AI36">
        <v>1</v>
      </c>
      <c r="AJ36">
        <v>1</v>
      </c>
      <c r="AK36">
        <v>1</v>
      </c>
      <c r="AL36">
        <v>18.3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13</v>
      </c>
      <c r="AU36" t="s">
        <v>6</v>
      </c>
      <c r="AV36">
        <v>1</v>
      </c>
      <c r="AW36">
        <v>2</v>
      </c>
      <c r="AX36">
        <v>34665265</v>
      </c>
      <c r="AY36">
        <v>1</v>
      </c>
      <c r="AZ36">
        <v>0</v>
      </c>
      <c r="BA36">
        <v>28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Y36*Source!I51</f>
        <v>6.5129999999999999</v>
      </c>
      <c r="CY36">
        <f t="shared" si="6"/>
        <v>232.23</v>
      </c>
      <c r="CZ36">
        <f t="shared" si="7"/>
        <v>12.69</v>
      </c>
      <c r="DA36">
        <f t="shared" si="8"/>
        <v>18.3</v>
      </c>
      <c r="DB3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34650060</v>
      </c>
      <c r="C1">
        <v>34650053</v>
      </c>
      <c r="D1">
        <v>31725395</v>
      </c>
      <c r="E1">
        <v>1</v>
      </c>
      <c r="F1">
        <v>1</v>
      </c>
      <c r="G1">
        <v>1</v>
      </c>
      <c r="H1">
        <v>1</v>
      </c>
      <c r="I1" t="s">
        <v>203</v>
      </c>
      <c r="J1" t="s">
        <v>6</v>
      </c>
      <c r="K1" t="s">
        <v>204</v>
      </c>
      <c r="L1">
        <v>1191</v>
      </c>
      <c r="N1">
        <v>1013</v>
      </c>
      <c r="O1" t="s">
        <v>205</v>
      </c>
      <c r="P1" t="s">
        <v>205</v>
      </c>
      <c r="Q1">
        <v>1</v>
      </c>
      <c r="X1">
        <v>0.52</v>
      </c>
      <c r="Y1">
        <v>0</v>
      </c>
      <c r="Z1">
        <v>0</v>
      </c>
      <c r="AA1">
        <v>0</v>
      </c>
      <c r="AB1">
        <v>9.92</v>
      </c>
      <c r="AC1">
        <v>0</v>
      </c>
      <c r="AD1">
        <v>1</v>
      </c>
      <c r="AE1">
        <v>1</v>
      </c>
      <c r="AF1" t="s">
        <v>20</v>
      </c>
      <c r="AG1">
        <v>0.70200000000000007</v>
      </c>
      <c r="AH1">
        <v>2</v>
      </c>
      <c r="AI1">
        <v>34650054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34650061</v>
      </c>
      <c r="C2">
        <v>34650053</v>
      </c>
      <c r="D2">
        <v>31449041</v>
      </c>
      <c r="E2">
        <v>1</v>
      </c>
      <c r="F2">
        <v>1</v>
      </c>
      <c r="G2">
        <v>1</v>
      </c>
      <c r="H2">
        <v>3</v>
      </c>
      <c r="I2" t="s">
        <v>220</v>
      </c>
      <c r="J2" t="s">
        <v>46</v>
      </c>
      <c r="K2" t="s">
        <v>221</v>
      </c>
      <c r="L2">
        <v>1346</v>
      </c>
      <c r="N2">
        <v>1009</v>
      </c>
      <c r="O2" t="s">
        <v>222</v>
      </c>
      <c r="P2" t="s">
        <v>222</v>
      </c>
      <c r="Q2">
        <v>1</v>
      </c>
      <c r="X2">
        <v>3.5000000000000003E-2</v>
      </c>
      <c r="Y2">
        <v>28.22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6</v>
      </c>
      <c r="AG2">
        <v>3.5000000000000003E-2</v>
      </c>
      <c r="AH2">
        <v>3</v>
      </c>
      <c r="AI2">
        <v>-1</v>
      </c>
      <c r="AJ2" t="s">
        <v>6</v>
      </c>
      <c r="AK2">
        <v>4</v>
      </c>
      <c r="AL2">
        <v>-0.98770000000000002</v>
      </c>
      <c r="AM2">
        <v>0</v>
      </c>
      <c r="AN2">
        <v>0</v>
      </c>
      <c r="AO2">
        <v>0</v>
      </c>
      <c r="AP2">
        <v>0</v>
      </c>
      <c r="AQ2">
        <v>0</v>
      </c>
      <c r="AR2">
        <v>1</v>
      </c>
    </row>
    <row r="3" spans="1:44" x14ac:dyDescent="0.2">
      <c r="A3">
        <f>ROW(Source!A24)</f>
        <v>24</v>
      </c>
      <c r="B3">
        <v>34650062</v>
      </c>
      <c r="C3">
        <v>34650053</v>
      </c>
      <c r="D3">
        <v>31443668</v>
      </c>
      <c r="E3">
        <v>17</v>
      </c>
      <c r="F3">
        <v>1</v>
      </c>
      <c r="G3">
        <v>1</v>
      </c>
      <c r="H3">
        <v>3</v>
      </c>
      <c r="I3" t="s">
        <v>69</v>
      </c>
      <c r="J3" t="s">
        <v>6</v>
      </c>
      <c r="K3" t="s">
        <v>70</v>
      </c>
      <c r="L3">
        <v>1374</v>
      </c>
      <c r="N3">
        <v>1013</v>
      </c>
      <c r="O3" t="s">
        <v>71</v>
      </c>
      <c r="P3" t="s">
        <v>71</v>
      </c>
      <c r="Q3">
        <v>1</v>
      </c>
      <c r="X3">
        <v>0.1</v>
      </c>
      <c r="Y3">
        <v>1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0.1</v>
      </c>
      <c r="AH3">
        <v>3</v>
      </c>
      <c r="AI3">
        <v>-1</v>
      </c>
      <c r="AJ3" t="s">
        <v>6</v>
      </c>
      <c r="AK3">
        <v>4</v>
      </c>
      <c r="AL3">
        <v>-0.1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</row>
    <row r="4" spans="1:44" x14ac:dyDescent="0.2">
      <c r="A4">
        <f>ROW(Source!A25)</f>
        <v>25</v>
      </c>
      <c r="B4">
        <v>34650060</v>
      </c>
      <c r="C4">
        <v>34650053</v>
      </c>
      <c r="D4">
        <v>31725395</v>
      </c>
      <c r="E4">
        <v>1</v>
      </c>
      <c r="F4">
        <v>1</v>
      </c>
      <c r="G4">
        <v>1</v>
      </c>
      <c r="H4">
        <v>1</v>
      </c>
      <c r="I4" t="s">
        <v>203</v>
      </c>
      <c r="J4" t="s">
        <v>6</v>
      </c>
      <c r="K4" t="s">
        <v>204</v>
      </c>
      <c r="L4">
        <v>1191</v>
      </c>
      <c r="N4">
        <v>1013</v>
      </c>
      <c r="O4" t="s">
        <v>205</v>
      </c>
      <c r="P4" t="s">
        <v>205</v>
      </c>
      <c r="Q4">
        <v>1</v>
      </c>
      <c r="X4">
        <v>0.52</v>
      </c>
      <c r="Y4">
        <v>0</v>
      </c>
      <c r="Z4">
        <v>0</v>
      </c>
      <c r="AA4">
        <v>0</v>
      </c>
      <c r="AB4">
        <v>9.92</v>
      </c>
      <c r="AC4">
        <v>0</v>
      </c>
      <c r="AD4">
        <v>1</v>
      </c>
      <c r="AE4">
        <v>1</v>
      </c>
      <c r="AF4" t="s">
        <v>20</v>
      </c>
      <c r="AG4">
        <v>0.70200000000000007</v>
      </c>
      <c r="AH4">
        <v>2</v>
      </c>
      <c r="AI4">
        <v>34650054</v>
      </c>
      <c r="AJ4">
        <v>8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34650061</v>
      </c>
      <c r="C5">
        <v>34650053</v>
      </c>
      <c r="D5">
        <v>31449041</v>
      </c>
      <c r="E5">
        <v>1</v>
      </c>
      <c r="F5">
        <v>1</v>
      </c>
      <c r="G5">
        <v>1</v>
      </c>
      <c r="H5">
        <v>3</v>
      </c>
      <c r="I5" t="s">
        <v>220</v>
      </c>
      <c r="J5" t="s">
        <v>46</v>
      </c>
      <c r="K5" t="s">
        <v>221</v>
      </c>
      <c r="L5">
        <v>1346</v>
      </c>
      <c r="N5">
        <v>1009</v>
      </c>
      <c r="O5" t="s">
        <v>222</v>
      </c>
      <c r="P5" t="s">
        <v>222</v>
      </c>
      <c r="Q5">
        <v>1</v>
      </c>
      <c r="X5">
        <v>3.5000000000000003E-2</v>
      </c>
      <c r="Y5">
        <v>28.22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3.5000000000000003E-2</v>
      </c>
      <c r="AH5">
        <v>3</v>
      </c>
      <c r="AI5">
        <v>-1</v>
      </c>
      <c r="AJ5" t="s">
        <v>6</v>
      </c>
      <c r="AK5">
        <v>4</v>
      </c>
      <c r="AL5">
        <v>-0.98770000000000002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</row>
    <row r="6" spans="1:44" x14ac:dyDescent="0.2">
      <c r="A6">
        <f>ROW(Source!A25)</f>
        <v>25</v>
      </c>
      <c r="B6">
        <v>34650062</v>
      </c>
      <c r="C6">
        <v>34650053</v>
      </c>
      <c r="D6">
        <v>31443668</v>
      </c>
      <c r="E6">
        <v>17</v>
      </c>
      <c r="F6">
        <v>1</v>
      </c>
      <c r="G6">
        <v>1</v>
      </c>
      <c r="H6">
        <v>3</v>
      </c>
      <c r="I6" t="s">
        <v>69</v>
      </c>
      <c r="J6" t="s">
        <v>6</v>
      </c>
      <c r="K6" t="s">
        <v>70</v>
      </c>
      <c r="L6">
        <v>1374</v>
      </c>
      <c r="N6">
        <v>1013</v>
      </c>
      <c r="O6" t="s">
        <v>71</v>
      </c>
      <c r="P6" t="s">
        <v>71</v>
      </c>
      <c r="Q6">
        <v>1</v>
      </c>
      <c r="X6">
        <v>0.1</v>
      </c>
      <c r="Y6">
        <v>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6</v>
      </c>
      <c r="AG6">
        <v>0.1</v>
      </c>
      <c r="AH6">
        <v>3</v>
      </c>
      <c r="AI6">
        <v>-1</v>
      </c>
      <c r="AJ6" t="s">
        <v>6</v>
      </c>
      <c r="AK6">
        <v>4</v>
      </c>
      <c r="AL6">
        <v>-0.1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</row>
    <row r="7" spans="1:44" x14ac:dyDescent="0.2">
      <c r="A7">
        <f>ROW(Source!A38)</f>
        <v>38</v>
      </c>
      <c r="B7">
        <v>34650073</v>
      </c>
      <c r="C7">
        <v>34650068</v>
      </c>
      <c r="D7">
        <v>31757860</v>
      </c>
      <c r="E7">
        <v>1</v>
      </c>
      <c r="F7">
        <v>1</v>
      </c>
      <c r="G7">
        <v>1</v>
      </c>
      <c r="H7">
        <v>1</v>
      </c>
      <c r="I7" t="s">
        <v>206</v>
      </c>
      <c r="J7" t="s">
        <v>6</v>
      </c>
      <c r="K7" t="s">
        <v>207</v>
      </c>
      <c r="L7">
        <v>1191</v>
      </c>
      <c r="N7">
        <v>1013</v>
      </c>
      <c r="O7" t="s">
        <v>205</v>
      </c>
      <c r="P7" t="s">
        <v>205</v>
      </c>
      <c r="Q7">
        <v>1</v>
      </c>
      <c r="X7">
        <v>9.27</v>
      </c>
      <c r="Y7">
        <v>0</v>
      </c>
      <c r="Z7">
        <v>0</v>
      </c>
      <c r="AA7">
        <v>0</v>
      </c>
      <c r="AB7">
        <v>11.09</v>
      </c>
      <c r="AC7">
        <v>0</v>
      </c>
      <c r="AD7">
        <v>1</v>
      </c>
      <c r="AE7">
        <v>1</v>
      </c>
      <c r="AF7" t="s">
        <v>20</v>
      </c>
      <c r="AG7">
        <v>12.5145</v>
      </c>
      <c r="AH7">
        <v>2</v>
      </c>
      <c r="AI7">
        <v>34650069</v>
      </c>
      <c r="AJ7">
        <v>15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ROW(Source!A38)</f>
        <v>38</v>
      </c>
      <c r="B8">
        <v>34650074</v>
      </c>
      <c r="C8">
        <v>34650068</v>
      </c>
      <c r="D8">
        <v>31449933</v>
      </c>
      <c r="E8">
        <v>1</v>
      </c>
      <c r="F8">
        <v>1</v>
      </c>
      <c r="G8">
        <v>1</v>
      </c>
      <c r="H8">
        <v>3</v>
      </c>
      <c r="I8" t="s">
        <v>223</v>
      </c>
      <c r="J8" t="s">
        <v>61</v>
      </c>
      <c r="K8" t="s">
        <v>224</v>
      </c>
      <c r="L8">
        <v>1346</v>
      </c>
      <c r="N8">
        <v>1009</v>
      </c>
      <c r="O8" t="s">
        <v>222</v>
      </c>
      <c r="P8" t="s">
        <v>222</v>
      </c>
      <c r="Q8">
        <v>1</v>
      </c>
      <c r="X8">
        <v>0.2</v>
      </c>
      <c r="Y8">
        <v>23.09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0.2</v>
      </c>
      <c r="AH8">
        <v>3</v>
      </c>
      <c r="AI8">
        <v>-1</v>
      </c>
      <c r="AJ8" t="s">
        <v>6</v>
      </c>
      <c r="AK8">
        <v>4</v>
      </c>
      <c r="AL8">
        <v>-4.6180000000000003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</row>
    <row r="9" spans="1:44" x14ac:dyDescent="0.2">
      <c r="A9">
        <f>ROW(Source!A38)</f>
        <v>38</v>
      </c>
      <c r="B9">
        <v>34650075</v>
      </c>
      <c r="C9">
        <v>34650068</v>
      </c>
      <c r="D9">
        <v>31515411</v>
      </c>
      <c r="E9">
        <v>1</v>
      </c>
      <c r="F9">
        <v>1</v>
      </c>
      <c r="G9">
        <v>1</v>
      </c>
      <c r="H9">
        <v>3</v>
      </c>
      <c r="I9" t="s">
        <v>64</v>
      </c>
      <c r="J9" t="s">
        <v>67</v>
      </c>
      <c r="K9" t="s">
        <v>65</v>
      </c>
      <c r="L9">
        <v>1355</v>
      </c>
      <c r="N9">
        <v>1010</v>
      </c>
      <c r="O9" t="s">
        <v>66</v>
      </c>
      <c r="P9" t="s">
        <v>66</v>
      </c>
      <c r="Q9">
        <v>100</v>
      </c>
      <c r="X9">
        <v>0.25</v>
      </c>
      <c r="Y9">
        <v>30.74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0.25</v>
      </c>
      <c r="AH9">
        <v>2</v>
      </c>
      <c r="AI9">
        <v>34650071</v>
      </c>
      <c r="AJ9">
        <v>16</v>
      </c>
      <c r="AK9">
        <v>3</v>
      </c>
      <c r="AL9">
        <v>-7.6849999999999996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</row>
    <row r="10" spans="1:44" x14ac:dyDescent="0.2">
      <c r="A10">
        <f>ROW(Source!A38)</f>
        <v>38</v>
      </c>
      <c r="B10">
        <v>34650076</v>
      </c>
      <c r="C10">
        <v>34650068</v>
      </c>
      <c r="D10">
        <v>31443668</v>
      </c>
      <c r="E10">
        <v>17</v>
      </c>
      <c r="F10">
        <v>1</v>
      </c>
      <c r="G10">
        <v>1</v>
      </c>
      <c r="H10">
        <v>3</v>
      </c>
      <c r="I10" t="s">
        <v>69</v>
      </c>
      <c r="J10" t="s">
        <v>6</v>
      </c>
      <c r="K10" t="s">
        <v>70</v>
      </c>
      <c r="L10">
        <v>1374</v>
      </c>
      <c r="N10">
        <v>1013</v>
      </c>
      <c r="O10" t="s">
        <v>71</v>
      </c>
      <c r="P10" t="s">
        <v>71</v>
      </c>
      <c r="Q10">
        <v>1</v>
      </c>
      <c r="X10">
        <v>2.06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2.06</v>
      </c>
      <c r="AH10">
        <v>2</v>
      </c>
      <c r="AI10">
        <v>34650072</v>
      </c>
      <c r="AJ10">
        <v>17</v>
      </c>
      <c r="AK10">
        <v>3</v>
      </c>
      <c r="AL10">
        <v>-2.06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ROW(Source!A39)</f>
        <v>39</v>
      </c>
      <c r="B11">
        <v>34650073</v>
      </c>
      <c r="C11">
        <v>34650068</v>
      </c>
      <c r="D11">
        <v>31757860</v>
      </c>
      <c r="E11">
        <v>1</v>
      </c>
      <c r="F11">
        <v>1</v>
      </c>
      <c r="G11">
        <v>1</v>
      </c>
      <c r="H11">
        <v>1</v>
      </c>
      <c r="I11" t="s">
        <v>206</v>
      </c>
      <c r="J11" t="s">
        <v>6</v>
      </c>
      <c r="K11" t="s">
        <v>207</v>
      </c>
      <c r="L11">
        <v>1191</v>
      </c>
      <c r="N11">
        <v>1013</v>
      </c>
      <c r="O11" t="s">
        <v>205</v>
      </c>
      <c r="P11" t="s">
        <v>205</v>
      </c>
      <c r="Q11">
        <v>1</v>
      </c>
      <c r="X11">
        <v>9.27</v>
      </c>
      <c r="Y11">
        <v>0</v>
      </c>
      <c r="Z11">
        <v>0</v>
      </c>
      <c r="AA11">
        <v>0</v>
      </c>
      <c r="AB11">
        <v>11.09</v>
      </c>
      <c r="AC11">
        <v>0</v>
      </c>
      <c r="AD11">
        <v>1</v>
      </c>
      <c r="AE11">
        <v>1</v>
      </c>
      <c r="AF11" t="s">
        <v>20</v>
      </c>
      <c r="AG11">
        <v>12.5145</v>
      </c>
      <c r="AH11">
        <v>2</v>
      </c>
      <c r="AI11">
        <v>34650069</v>
      </c>
      <c r="AJ11">
        <v>19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ROW(Source!A39)</f>
        <v>39</v>
      </c>
      <c r="B12">
        <v>34650074</v>
      </c>
      <c r="C12">
        <v>34650068</v>
      </c>
      <c r="D12">
        <v>31449933</v>
      </c>
      <c r="E12">
        <v>1</v>
      </c>
      <c r="F12">
        <v>1</v>
      </c>
      <c r="G12">
        <v>1</v>
      </c>
      <c r="H12">
        <v>3</v>
      </c>
      <c r="I12" t="s">
        <v>223</v>
      </c>
      <c r="J12" t="s">
        <v>61</v>
      </c>
      <c r="K12" t="s">
        <v>224</v>
      </c>
      <c r="L12">
        <v>1346</v>
      </c>
      <c r="N12">
        <v>1009</v>
      </c>
      <c r="O12" t="s">
        <v>222</v>
      </c>
      <c r="P12" t="s">
        <v>222</v>
      </c>
      <c r="Q12">
        <v>1</v>
      </c>
      <c r="X12">
        <v>0.2</v>
      </c>
      <c r="Y12">
        <v>23.09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0.2</v>
      </c>
      <c r="AH12">
        <v>3</v>
      </c>
      <c r="AI12">
        <v>-1</v>
      </c>
      <c r="AJ12" t="s">
        <v>6</v>
      </c>
      <c r="AK12">
        <v>4</v>
      </c>
      <c r="AL12">
        <v>-4.6180000000000003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ROW(Source!A39)</f>
        <v>39</v>
      </c>
      <c r="B13">
        <v>34650075</v>
      </c>
      <c r="C13">
        <v>34650068</v>
      </c>
      <c r="D13">
        <v>31515411</v>
      </c>
      <c r="E13">
        <v>1</v>
      </c>
      <c r="F13">
        <v>1</v>
      </c>
      <c r="G13">
        <v>1</v>
      </c>
      <c r="H13">
        <v>3</v>
      </c>
      <c r="I13" t="s">
        <v>64</v>
      </c>
      <c r="J13" t="s">
        <v>67</v>
      </c>
      <c r="K13" t="s">
        <v>65</v>
      </c>
      <c r="L13">
        <v>1355</v>
      </c>
      <c r="N13">
        <v>1010</v>
      </c>
      <c r="O13" t="s">
        <v>66</v>
      </c>
      <c r="P13" t="s">
        <v>66</v>
      </c>
      <c r="Q13">
        <v>100</v>
      </c>
      <c r="X13">
        <v>0.25</v>
      </c>
      <c r="Y13">
        <v>30.74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0.25</v>
      </c>
      <c r="AH13">
        <v>2</v>
      </c>
      <c r="AI13">
        <v>34650071</v>
      </c>
      <c r="AJ13">
        <v>20</v>
      </c>
      <c r="AK13">
        <v>3</v>
      </c>
      <c r="AL13">
        <v>-7.6849999999999996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ROW(Source!A39)</f>
        <v>39</v>
      </c>
      <c r="B14">
        <v>34650076</v>
      </c>
      <c r="C14">
        <v>34650068</v>
      </c>
      <c r="D14">
        <v>31443668</v>
      </c>
      <c r="E14">
        <v>17</v>
      </c>
      <c r="F14">
        <v>1</v>
      </c>
      <c r="G14">
        <v>1</v>
      </c>
      <c r="H14">
        <v>3</v>
      </c>
      <c r="I14" t="s">
        <v>69</v>
      </c>
      <c r="J14" t="s">
        <v>6</v>
      </c>
      <c r="K14" t="s">
        <v>70</v>
      </c>
      <c r="L14">
        <v>1374</v>
      </c>
      <c r="N14">
        <v>1013</v>
      </c>
      <c r="O14" t="s">
        <v>71</v>
      </c>
      <c r="P14" t="s">
        <v>71</v>
      </c>
      <c r="Q14">
        <v>1</v>
      </c>
      <c r="X14">
        <v>2.06</v>
      </c>
      <c r="Y14">
        <v>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2.06</v>
      </c>
      <c r="AH14">
        <v>2</v>
      </c>
      <c r="AI14">
        <v>34650072</v>
      </c>
      <c r="AJ14">
        <v>21</v>
      </c>
      <c r="AK14">
        <v>3</v>
      </c>
      <c r="AL14">
        <v>-2.06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ROW(Source!A46)</f>
        <v>46</v>
      </c>
      <c r="B15">
        <v>34650083</v>
      </c>
      <c r="C15">
        <v>34650080</v>
      </c>
      <c r="D15">
        <v>31715651</v>
      </c>
      <c r="E15">
        <v>1</v>
      </c>
      <c r="F15">
        <v>1</v>
      </c>
      <c r="G15">
        <v>1</v>
      </c>
      <c r="H15">
        <v>1</v>
      </c>
      <c r="I15" t="s">
        <v>208</v>
      </c>
      <c r="J15" t="s">
        <v>6</v>
      </c>
      <c r="K15" t="s">
        <v>209</v>
      </c>
      <c r="L15">
        <v>1191</v>
      </c>
      <c r="N15">
        <v>1013</v>
      </c>
      <c r="O15" t="s">
        <v>205</v>
      </c>
      <c r="P15" t="s">
        <v>205</v>
      </c>
      <c r="Q15">
        <v>1</v>
      </c>
      <c r="X15">
        <v>9.6</v>
      </c>
      <c r="Y15">
        <v>0</v>
      </c>
      <c r="Z15">
        <v>0</v>
      </c>
      <c r="AA15">
        <v>0</v>
      </c>
      <c r="AB15">
        <v>9.6199999999999992</v>
      </c>
      <c r="AC15">
        <v>0</v>
      </c>
      <c r="AD15">
        <v>1</v>
      </c>
      <c r="AE15">
        <v>1</v>
      </c>
      <c r="AF15" t="s">
        <v>6</v>
      </c>
      <c r="AG15">
        <v>9.6</v>
      </c>
      <c r="AH15">
        <v>2</v>
      </c>
      <c r="AI15">
        <v>34650081</v>
      </c>
      <c r="AJ15">
        <v>23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ROW(Source!A46)</f>
        <v>46</v>
      </c>
      <c r="B16">
        <v>34650084</v>
      </c>
      <c r="C16">
        <v>34650080</v>
      </c>
      <c r="D16">
        <v>31443668</v>
      </c>
      <c r="E16">
        <v>17</v>
      </c>
      <c r="F16">
        <v>1</v>
      </c>
      <c r="G16">
        <v>1</v>
      </c>
      <c r="H16">
        <v>3</v>
      </c>
      <c r="I16" t="s">
        <v>69</v>
      </c>
      <c r="J16" t="s">
        <v>6</v>
      </c>
      <c r="K16" t="s">
        <v>70</v>
      </c>
      <c r="L16">
        <v>1374</v>
      </c>
      <c r="N16">
        <v>1013</v>
      </c>
      <c r="O16" t="s">
        <v>71</v>
      </c>
      <c r="P16" t="s">
        <v>71</v>
      </c>
      <c r="Q16">
        <v>1</v>
      </c>
      <c r="X16">
        <v>1.85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1.85</v>
      </c>
      <c r="AH16">
        <v>2</v>
      </c>
      <c r="AI16">
        <v>34650082</v>
      </c>
      <c r="AJ16">
        <v>24</v>
      </c>
      <c r="AK16">
        <v>3</v>
      </c>
      <c r="AL16">
        <v>-1.85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ROW(Source!A47)</f>
        <v>47</v>
      </c>
      <c r="B17">
        <v>34650083</v>
      </c>
      <c r="C17">
        <v>34650080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208</v>
      </c>
      <c r="J17" t="s">
        <v>6</v>
      </c>
      <c r="K17" t="s">
        <v>209</v>
      </c>
      <c r="L17">
        <v>1191</v>
      </c>
      <c r="N17">
        <v>1013</v>
      </c>
      <c r="O17" t="s">
        <v>205</v>
      </c>
      <c r="P17" t="s">
        <v>205</v>
      </c>
      <c r="Q17">
        <v>1</v>
      </c>
      <c r="X17">
        <v>9.6</v>
      </c>
      <c r="Y17">
        <v>0</v>
      </c>
      <c r="Z17">
        <v>0</v>
      </c>
      <c r="AA17">
        <v>0</v>
      </c>
      <c r="AB17">
        <v>9.6199999999999992</v>
      </c>
      <c r="AC17">
        <v>0</v>
      </c>
      <c r="AD17">
        <v>1</v>
      </c>
      <c r="AE17">
        <v>1</v>
      </c>
      <c r="AF17" t="s">
        <v>6</v>
      </c>
      <c r="AG17">
        <v>9.6</v>
      </c>
      <c r="AH17">
        <v>2</v>
      </c>
      <c r="AI17">
        <v>34650081</v>
      </c>
      <c r="AJ17">
        <v>25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ROW(Source!A47)</f>
        <v>47</v>
      </c>
      <c r="B18">
        <v>34650084</v>
      </c>
      <c r="C18">
        <v>34650080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69</v>
      </c>
      <c r="J18" t="s">
        <v>6</v>
      </c>
      <c r="K18" t="s">
        <v>70</v>
      </c>
      <c r="L18">
        <v>1374</v>
      </c>
      <c r="N18">
        <v>1013</v>
      </c>
      <c r="O18" t="s">
        <v>71</v>
      </c>
      <c r="P18" t="s">
        <v>71</v>
      </c>
      <c r="Q18">
        <v>1</v>
      </c>
      <c r="X18">
        <v>1.85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1.85</v>
      </c>
      <c r="AH18">
        <v>2</v>
      </c>
      <c r="AI18">
        <v>34650082</v>
      </c>
      <c r="AJ18">
        <v>26</v>
      </c>
      <c r="AK18">
        <v>3</v>
      </c>
      <c r="AL18">
        <v>-1.85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ROW(Source!A50)</f>
        <v>50</v>
      </c>
      <c r="B19">
        <v>34665261</v>
      </c>
      <c r="C19">
        <v>34665227</v>
      </c>
      <c r="D19">
        <v>32163921</v>
      </c>
      <c r="E19">
        <v>1</v>
      </c>
      <c r="F19">
        <v>1</v>
      </c>
      <c r="G19">
        <v>1</v>
      </c>
      <c r="H19">
        <v>1</v>
      </c>
      <c r="I19" t="s">
        <v>210</v>
      </c>
      <c r="J19" t="s">
        <v>6</v>
      </c>
      <c r="K19" t="s">
        <v>211</v>
      </c>
      <c r="L19">
        <v>1191</v>
      </c>
      <c r="N19">
        <v>1013</v>
      </c>
      <c r="O19" t="s">
        <v>205</v>
      </c>
      <c r="P19" t="s">
        <v>205</v>
      </c>
      <c r="Q19">
        <v>1</v>
      </c>
      <c r="X19">
        <v>3.25</v>
      </c>
      <c r="Y19">
        <v>0</v>
      </c>
      <c r="Z19">
        <v>0</v>
      </c>
      <c r="AA19">
        <v>0</v>
      </c>
      <c r="AB19">
        <v>10.210000000000001</v>
      </c>
      <c r="AC19">
        <v>0</v>
      </c>
      <c r="AD19">
        <v>1</v>
      </c>
      <c r="AE19">
        <v>1</v>
      </c>
      <c r="AF19" t="s">
        <v>6</v>
      </c>
      <c r="AG19">
        <v>3.25</v>
      </c>
      <c r="AH19">
        <v>2</v>
      </c>
      <c r="AI19">
        <v>34665261</v>
      </c>
      <c r="AJ19">
        <v>27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ROW(Source!A50)</f>
        <v>50</v>
      </c>
      <c r="B20">
        <v>34665262</v>
      </c>
      <c r="C20">
        <v>34665227</v>
      </c>
      <c r="D20">
        <v>32159941</v>
      </c>
      <c r="E20">
        <v>1</v>
      </c>
      <c r="F20">
        <v>1</v>
      </c>
      <c r="G20">
        <v>1</v>
      </c>
      <c r="H20">
        <v>1</v>
      </c>
      <c r="I20" t="s">
        <v>212</v>
      </c>
      <c r="J20" t="s">
        <v>6</v>
      </c>
      <c r="K20" t="s">
        <v>213</v>
      </c>
      <c r="L20">
        <v>1191</v>
      </c>
      <c r="N20">
        <v>1013</v>
      </c>
      <c r="O20" t="s">
        <v>205</v>
      </c>
      <c r="P20" t="s">
        <v>205</v>
      </c>
      <c r="Q20">
        <v>1</v>
      </c>
      <c r="X20">
        <v>6.5</v>
      </c>
      <c r="Y20">
        <v>0</v>
      </c>
      <c r="Z20">
        <v>0</v>
      </c>
      <c r="AA20">
        <v>0</v>
      </c>
      <c r="AB20">
        <v>16.93</v>
      </c>
      <c r="AC20">
        <v>0</v>
      </c>
      <c r="AD20">
        <v>1</v>
      </c>
      <c r="AE20">
        <v>1</v>
      </c>
      <c r="AF20" t="s">
        <v>6</v>
      </c>
      <c r="AG20">
        <v>6.5</v>
      </c>
      <c r="AH20">
        <v>2</v>
      </c>
      <c r="AI20">
        <v>34665262</v>
      </c>
      <c r="AJ20">
        <v>28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ROW(Source!A50)</f>
        <v>50</v>
      </c>
      <c r="B21">
        <v>34665263</v>
      </c>
      <c r="C21">
        <v>34665227</v>
      </c>
      <c r="D21">
        <v>32000304</v>
      </c>
      <c r="E21">
        <v>1</v>
      </c>
      <c r="F21">
        <v>1</v>
      </c>
      <c r="G21">
        <v>1</v>
      </c>
      <c r="H21">
        <v>1</v>
      </c>
      <c r="I21" t="s">
        <v>214</v>
      </c>
      <c r="J21" t="s">
        <v>6</v>
      </c>
      <c r="K21" t="s">
        <v>215</v>
      </c>
      <c r="L21">
        <v>1191</v>
      </c>
      <c r="N21">
        <v>1013</v>
      </c>
      <c r="O21" t="s">
        <v>205</v>
      </c>
      <c r="P21" t="s">
        <v>205</v>
      </c>
      <c r="Q21">
        <v>1</v>
      </c>
      <c r="X21">
        <v>13</v>
      </c>
      <c r="Y21">
        <v>0</v>
      </c>
      <c r="Z21">
        <v>0</v>
      </c>
      <c r="AA21">
        <v>0</v>
      </c>
      <c r="AB21">
        <v>15.49</v>
      </c>
      <c r="AC21">
        <v>0</v>
      </c>
      <c r="AD21">
        <v>1</v>
      </c>
      <c r="AE21">
        <v>1</v>
      </c>
      <c r="AF21" t="s">
        <v>6</v>
      </c>
      <c r="AG21">
        <v>13</v>
      </c>
      <c r="AH21">
        <v>2</v>
      </c>
      <c r="AI21">
        <v>34665263</v>
      </c>
      <c r="AJ21">
        <v>29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ROW(Source!A50)</f>
        <v>50</v>
      </c>
      <c r="B22">
        <v>34665264</v>
      </c>
      <c r="C22">
        <v>34665227</v>
      </c>
      <c r="D22">
        <v>32003081</v>
      </c>
      <c r="E22">
        <v>1</v>
      </c>
      <c r="F22">
        <v>1</v>
      </c>
      <c r="G22">
        <v>1</v>
      </c>
      <c r="H22">
        <v>1</v>
      </c>
      <c r="I22" t="s">
        <v>216</v>
      </c>
      <c r="J22" t="s">
        <v>6</v>
      </c>
      <c r="K22" t="s">
        <v>217</v>
      </c>
      <c r="L22">
        <v>1191</v>
      </c>
      <c r="N22">
        <v>1013</v>
      </c>
      <c r="O22" t="s">
        <v>205</v>
      </c>
      <c r="P22" t="s">
        <v>205</v>
      </c>
      <c r="Q22">
        <v>1</v>
      </c>
      <c r="X22">
        <v>29.25</v>
      </c>
      <c r="Y22">
        <v>0</v>
      </c>
      <c r="Z22">
        <v>0</v>
      </c>
      <c r="AA22">
        <v>0</v>
      </c>
      <c r="AB22">
        <v>14.09</v>
      </c>
      <c r="AC22">
        <v>0</v>
      </c>
      <c r="AD22">
        <v>1</v>
      </c>
      <c r="AE22">
        <v>1</v>
      </c>
      <c r="AF22" t="s">
        <v>6</v>
      </c>
      <c r="AG22">
        <v>29.25</v>
      </c>
      <c r="AH22">
        <v>2</v>
      </c>
      <c r="AI22">
        <v>34665264</v>
      </c>
      <c r="AJ22">
        <v>30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ROW(Source!A50)</f>
        <v>50</v>
      </c>
      <c r="B23">
        <v>34665265</v>
      </c>
      <c r="C23">
        <v>34665227</v>
      </c>
      <c r="D23">
        <v>32159989</v>
      </c>
      <c r="E23">
        <v>1</v>
      </c>
      <c r="F23">
        <v>1</v>
      </c>
      <c r="G23">
        <v>1</v>
      </c>
      <c r="H23">
        <v>1</v>
      </c>
      <c r="I23" t="s">
        <v>218</v>
      </c>
      <c r="J23" t="s">
        <v>6</v>
      </c>
      <c r="K23" t="s">
        <v>219</v>
      </c>
      <c r="L23">
        <v>1191</v>
      </c>
      <c r="N23">
        <v>1013</v>
      </c>
      <c r="O23" t="s">
        <v>205</v>
      </c>
      <c r="P23" t="s">
        <v>205</v>
      </c>
      <c r="Q23">
        <v>1</v>
      </c>
      <c r="X23">
        <v>13</v>
      </c>
      <c r="Y23">
        <v>0</v>
      </c>
      <c r="Z23">
        <v>0</v>
      </c>
      <c r="AA23">
        <v>0</v>
      </c>
      <c r="AB23">
        <v>12.69</v>
      </c>
      <c r="AC23">
        <v>0</v>
      </c>
      <c r="AD23">
        <v>1</v>
      </c>
      <c r="AE23">
        <v>1</v>
      </c>
      <c r="AF23" t="s">
        <v>6</v>
      </c>
      <c r="AG23">
        <v>13</v>
      </c>
      <c r="AH23">
        <v>2</v>
      </c>
      <c r="AI23">
        <v>34665265</v>
      </c>
      <c r="AJ23">
        <v>31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ROW(Source!A51)</f>
        <v>51</v>
      </c>
      <c r="B24">
        <v>34665261</v>
      </c>
      <c r="C24">
        <v>34665227</v>
      </c>
      <c r="D24">
        <v>32163921</v>
      </c>
      <c r="E24">
        <v>1</v>
      </c>
      <c r="F24">
        <v>1</v>
      </c>
      <c r="G24">
        <v>1</v>
      </c>
      <c r="H24">
        <v>1</v>
      </c>
      <c r="I24" t="s">
        <v>210</v>
      </c>
      <c r="J24" t="s">
        <v>6</v>
      </c>
      <c r="K24" t="s">
        <v>211</v>
      </c>
      <c r="L24">
        <v>1191</v>
      </c>
      <c r="N24">
        <v>1013</v>
      </c>
      <c r="O24" t="s">
        <v>205</v>
      </c>
      <c r="P24" t="s">
        <v>205</v>
      </c>
      <c r="Q24">
        <v>1</v>
      </c>
      <c r="X24">
        <v>3.25</v>
      </c>
      <c r="Y24">
        <v>0</v>
      </c>
      <c r="Z24">
        <v>0</v>
      </c>
      <c r="AA24">
        <v>0</v>
      </c>
      <c r="AB24">
        <v>10.210000000000001</v>
      </c>
      <c r="AC24">
        <v>0</v>
      </c>
      <c r="AD24">
        <v>1</v>
      </c>
      <c r="AE24">
        <v>1</v>
      </c>
      <c r="AF24" t="s">
        <v>6</v>
      </c>
      <c r="AG24">
        <v>3.25</v>
      </c>
      <c r="AH24">
        <v>2</v>
      </c>
      <c r="AI24">
        <v>34665261</v>
      </c>
      <c r="AJ24">
        <v>32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ROW(Source!A51)</f>
        <v>51</v>
      </c>
      <c r="B25">
        <v>34665262</v>
      </c>
      <c r="C25">
        <v>34665227</v>
      </c>
      <c r="D25">
        <v>32159941</v>
      </c>
      <c r="E25">
        <v>1</v>
      </c>
      <c r="F25">
        <v>1</v>
      </c>
      <c r="G25">
        <v>1</v>
      </c>
      <c r="H25">
        <v>1</v>
      </c>
      <c r="I25" t="s">
        <v>212</v>
      </c>
      <c r="J25" t="s">
        <v>6</v>
      </c>
      <c r="K25" t="s">
        <v>213</v>
      </c>
      <c r="L25">
        <v>1191</v>
      </c>
      <c r="N25">
        <v>1013</v>
      </c>
      <c r="O25" t="s">
        <v>205</v>
      </c>
      <c r="P25" t="s">
        <v>205</v>
      </c>
      <c r="Q25">
        <v>1</v>
      </c>
      <c r="X25">
        <v>6.5</v>
      </c>
      <c r="Y25">
        <v>0</v>
      </c>
      <c r="Z25">
        <v>0</v>
      </c>
      <c r="AA25">
        <v>0</v>
      </c>
      <c r="AB25">
        <v>16.93</v>
      </c>
      <c r="AC25">
        <v>0</v>
      </c>
      <c r="AD25">
        <v>1</v>
      </c>
      <c r="AE25">
        <v>1</v>
      </c>
      <c r="AF25" t="s">
        <v>6</v>
      </c>
      <c r="AG25">
        <v>6.5</v>
      </c>
      <c r="AH25">
        <v>2</v>
      </c>
      <c r="AI25">
        <v>34665262</v>
      </c>
      <c r="AJ25">
        <v>33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ROW(Source!A51)</f>
        <v>51</v>
      </c>
      <c r="B26">
        <v>34665263</v>
      </c>
      <c r="C26">
        <v>34665227</v>
      </c>
      <c r="D26">
        <v>32000304</v>
      </c>
      <c r="E26">
        <v>1</v>
      </c>
      <c r="F26">
        <v>1</v>
      </c>
      <c r="G26">
        <v>1</v>
      </c>
      <c r="H26">
        <v>1</v>
      </c>
      <c r="I26" t="s">
        <v>214</v>
      </c>
      <c r="J26" t="s">
        <v>6</v>
      </c>
      <c r="K26" t="s">
        <v>215</v>
      </c>
      <c r="L26">
        <v>1191</v>
      </c>
      <c r="N26">
        <v>1013</v>
      </c>
      <c r="O26" t="s">
        <v>205</v>
      </c>
      <c r="P26" t="s">
        <v>205</v>
      </c>
      <c r="Q26">
        <v>1</v>
      </c>
      <c r="X26">
        <v>13</v>
      </c>
      <c r="Y26">
        <v>0</v>
      </c>
      <c r="Z26">
        <v>0</v>
      </c>
      <c r="AA26">
        <v>0</v>
      </c>
      <c r="AB26">
        <v>15.49</v>
      </c>
      <c r="AC26">
        <v>0</v>
      </c>
      <c r="AD26">
        <v>1</v>
      </c>
      <c r="AE26">
        <v>1</v>
      </c>
      <c r="AF26" t="s">
        <v>6</v>
      </c>
      <c r="AG26">
        <v>13</v>
      </c>
      <c r="AH26">
        <v>2</v>
      </c>
      <c r="AI26">
        <v>34665263</v>
      </c>
      <c r="AJ26">
        <v>34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ROW(Source!A51)</f>
        <v>51</v>
      </c>
      <c r="B27">
        <v>34665264</v>
      </c>
      <c r="C27">
        <v>34665227</v>
      </c>
      <c r="D27">
        <v>32003081</v>
      </c>
      <c r="E27">
        <v>1</v>
      </c>
      <c r="F27">
        <v>1</v>
      </c>
      <c r="G27">
        <v>1</v>
      </c>
      <c r="H27">
        <v>1</v>
      </c>
      <c r="I27" t="s">
        <v>216</v>
      </c>
      <c r="J27" t="s">
        <v>6</v>
      </c>
      <c r="K27" t="s">
        <v>217</v>
      </c>
      <c r="L27">
        <v>1191</v>
      </c>
      <c r="N27">
        <v>1013</v>
      </c>
      <c r="O27" t="s">
        <v>205</v>
      </c>
      <c r="P27" t="s">
        <v>205</v>
      </c>
      <c r="Q27">
        <v>1</v>
      </c>
      <c r="X27">
        <v>29.25</v>
      </c>
      <c r="Y27">
        <v>0</v>
      </c>
      <c r="Z27">
        <v>0</v>
      </c>
      <c r="AA27">
        <v>0</v>
      </c>
      <c r="AB27">
        <v>14.09</v>
      </c>
      <c r="AC27">
        <v>0</v>
      </c>
      <c r="AD27">
        <v>1</v>
      </c>
      <c r="AE27">
        <v>1</v>
      </c>
      <c r="AF27" t="s">
        <v>6</v>
      </c>
      <c r="AG27">
        <v>29.25</v>
      </c>
      <c r="AH27">
        <v>2</v>
      </c>
      <c r="AI27">
        <v>34665264</v>
      </c>
      <c r="AJ27">
        <v>35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ROW(Source!A51)</f>
        <v>51</v>
      </c>
      <c r="B28">
        <v>34665265</v>
      </c>
      <c r="C28">
        <v>34665227</v>
      </c>
      <c r="D28">
        <v>32159989</v>
      </c>
      <c r="E28">
        <v>1</v>
      </c>
      <c r="F28">
        <v>1</v>
      </c>
      <c r="G28">
        <v>1</v>
      </c>
      <c r="H28">
        <v>1</v>
      </c>
      <c r="I28" t="s">
        <v>218</v>
      </c>
      <c r="J28" t="s">
        <v>6</v>
      </c>
      <c r="K28" t="s">
        <v>219</v>
      </c>
      <c r="L28">
        <v>1191</v>
      </c>
      <c r="N28">
        <v>1013</v>
      </c>
      <c r="O28" t="s">
        <v>205</v>
      </c>
      <c r="P28" t="s">
        <v>205</v>
      </c>
      <c r="Q28">
        <v>1</v>
      </c>
      <c r="X28">
        <v>13</v>
      </c>
      <c r="Y28">
        <v>0</v>
      </c>
      <c r="Z28">
        <v>0</v>
      </c>
      <c r="AA28">
        <v>0</v>
      </c>
      <c r="AB28">
        <v>12.69</v>
      </c>
      <c r="AC28">
        <v>0</v>
      </c>
      <c r="AD28">
        <v>1</v>
      </c>
      <c r="AE28">
        <v>1</v>
      </c>
      <c r="AF28" t="s">
        <v>6</v>
      </c>
      <c r="AG28">
        <v>13</v>
      </c>
      <c r="AH28">
        <v>2</v>
      </c>
      <c r="AI28">
        <v>34665265</v>
      </c>
      <c r="AJ28">
        <v>36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2019-01-28T07:33:42Z</cp:lastPrinted>
  <dcterms:created xsi:type="dcterms:W3CDTF">2019-01-28T06:30:31Z</dcterms:created>
  <dcterms:modified xsi:type="dcterms:W3CDTF">2019-05-06T11:38:10Z</dcterms:modified>
</cp:coreProperties>
</file>