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3.Оборудование" sheetId="11" r:id="rId1"/>
    <sheet name="2.Материалы" sheetId="9" r:id="rId2"/>
    <sheet name="1.Лок.смета.и.Акт" sheetId="7" r:id="rId3"/>
    <sheet name="SourceOb.1" sheetId="6" state="hidden" r:id="rId4"/>
    <sheet name="Source" sheetId="1" state="hidden" r:id="rId5"/>
    <sheet name="SourceObSm" sheetId="2" state="hidden" r:id="rId6"/>
    <sheet name="SmtRes" sheetId="3" state="hidden" r:id="rId7"/>
    <sheet name="EtalonRes" sheetId="4" state="hidden" r:id="rId8"/>
  </sheets>
  <definedNames>
    <definedName name="_xlnm.Print_Titles" localSheetId="2">'1.Лок.смета.и.Акт'!$46:$46</definedName>
    <definedName name="_xlnm.Print_Titles" localSheetId="1">'2.Материалы'!$18:$18</definedName>
    <definedName name="_xlnm.Print_Titles" localSheetId="0">'3.Оборудование'!$18:$18</definedName>
    <definedName name="_xlnm.Print_Area" localSheetId="2">'1.Лок.смета.и.Акт'!$A$1:$K$185</definedName>
    <definedName name="_xlnm.Print_Area" localSheetId="1">'2.Материалы'!$A$1:$G$72</definedName>
    <definedName name="_xlnm.Print_Area" localSheetId="0">'3.Оборудование'!$A$1:$G$29</definedName>
  </definedNames>
  <calcPr calcId="144525"/>
</workbook>
</file>

<file path=xl/calcChain.xml><?xml version="1.0" encoding="utf-8"?>
<calcChain xmlns="http://schemas.openxmlformats.org/spreadsheetml/2006/main">
  <c r="BZ25" i="11" l="1"/>
  <c r="BY25" i="11"/>
  <c r="BZ22" i="11"/>
  <c r="BY22" i="11"/>
  <c r="DK94" i="3"/>
  <c r="DJ94" i="3"/>
  <c r="DI94" i="3"/>
  <c r="DH94" i="3"/>
  <c r="DK93" i="3"/>
  <c r="DJ93" i="3"/>
  <c r="DI93" i="3"/>
  <c r="DH93" i="3"/>
  <c r="DK92" i="3"/>
  <c r="DJ92" i="3"/>
  <c r="DI92" i="3"/>
  <c r="DH92" i="3"/>
  <c r="DK91" i="3"/>
  <c r="DJ91" i="3"/>
  <c r="DI91" i="3"/>
  <c r="DH91" i="3"/>
  <c r="DK90" i="3"/>
  <c r="DJ90" i="3"/>
  <c r="DI90" i="3"/>
  <c r="DH90" i="3"/>
  <c r="DK86" i="3"/>
  <c r="DJ86" i="3"/>
  <c r="DI86" i="3"/>
  <c r="DH86" i="3"/>
  <c r="DK85" i="3"/>
  <c r="DJ85" i="3"/>
  <c r="DI85" i="3"/>
  <c r="DH85" i="3"/>
  <c r="DK84" i="3"/>
  <c r="DJ84" i="3"/>
  <c r="DI84" i="3"/>
  <c r="DH84" i="3"/>
  <c r="DK83" i="3"/>
  <c r="DJ83" i="3"/>
  <c r="DI83" i="3"/>
  <c r="DH83" i="3"/>
  <c r="DK82" i="3"/>
  <c r="DJ82" i="3"/>
  <c r="DI82" i="3"/>
  <c r="DH82" i="3"/>
  <c r="DK78" i="3"/>
  <c r="DJ78" i="3"/>
  <c r="DI78" i="3"/>
  <c r="DH78" i="3"/>
  <c r="DK76" i="3"/>
  <c r="DJ76" i="3"/>
  <c r="DI76" i="3"/>
  <c r="DH76" i="3"/>
  <c r="DK74" i="3"/>
  <c r="DJ74" i="3"/>
  <c r="DI74" i="3"/>
  <c r="DH74" i="3"/>
  <c r="DK73" i="3"/>
  <c r="DJ73" i="3"/>
  <c r="DI73" i="3"/>
  <c r="DH73" i="3"/>
  <c r="DK72" i="3"/>
  <c r="DJ72" i="3"/>
  <c r="DI72" i="3"/>
  <c r="DH72" i="3"/>
  <c r="DK70" i="3"/>
  <c r="DJ70" i="3"/>
  <c r="DI70" i="3"/>
  <c r="DH70" i="3"/>
  <c r="DK69" i="3"/>
  <c r="DJ69" i="3"/>
  <c r="DI69" i="3"/>
  <c r="DH69" i="3"/>
  <c r="DK68" i="3"/>
  <c r="DJ68" i="3"/>
  <c r="DI68" i="3"/>
  <c r="DH68" i="3"/>
  <c r="DK66" i="3"/>
  <c r="DJ66" i="3"/>
  <c r="DI66" i="3"/>
  <c r="DH66" i="3"/>
  <c r="DK65" i="3"/>
  <c r="DJ65" i="3"/>
  <c r="DI65" i="3"/>
  <c r="DH65" i="3"/>
  <c r="DK64" i="3"/>
  <c r="DJ64" i="3"/>
  <c r="DI64" i="3"/>
  <c r="DH64" i="3"/>
  <c r="DK63" i="3"/>
  <c r="DJ63" i="3"/>
  <c r="DI63" i="3"/>
  <c r="DH63" i="3"/>
  <c r="DK62" i="3"/>
  <c r="DJ62" i="3"/>
  <c r="DI62" i="3"/>
  <c r="DH62" i="3"/>
  <c r="DK57" i="3"/>
  <c r="DJ57" i="3"/>
  <c r="DI57" i="3"/>
  <c r="DH57" i="3"/>
  <c r="DK56" i="3"/>
  <c r="DJ56" i="3"/>
  <c r="DI56" i="3"/>
  <c r="DH56" i="3"/>
  <c r="DK55" i="3"/>
  <c r="DJ55" i="3"/>
  <c r="DI55" i="3"/>
  <c r="DH55" i="3"/>
  <c r="DK54" i="3"/>
  <c r="DJ54" i="3"/>
  <c r="DI54" i="3"/>
  <c r="DH54" i="3"/>
  <c r="DK53" i="3"/>
  <c r="DJ53" i="3"/>
  <c r="DI53" i="3"/>
  <c r="DH53" i="3"/>
  <c r="DK48" i="3"/>
  <c r="DJ48" i="3"/>
  <c r="DI48" i="3"/>
  <c r="DH48" i="3"/>
  <c r="DK47" i="3"/>
  <c r="DJ47" i="3"/>
  <c r="DI47" i="3"/>
  <c r="DH47" i="3"/>
  <c r="DK46" i="3"/>
  <c r="DJ46" i="3"/>
  <c r="DI46" i="3"/>
  <c r="DH46" i="3"/>
  <c r="DK45" i="3"/>
  <c r="DJ45" i="3"/>
  <c r="DI45" i="3"/>
  <c r="DH45" i="3"/>
  <c r="DK44" i="3"/>
  <c r="DJ44" i="3"/>
  <c r="DI44" i="3"/>
  <c r="DH44" i="3"/>
  <c r="DK43" i="3"/>
  <c r="DJ43" i="3"/>
  <c r="DI43" i="3"/>
  <c r="DH43" i="3"/>
  <c r="DK42" i="3"/>
  <c r="DJ42" i="3"/>
  <c r="DI42" i="3"/>
  <c r="DH42" i="3"/>
  <c r="DK41" i="3"/>
  <c r="DJ41" i="3"/>
  <c r="DI41" i="3"/>
  <c r="DH41" i="3"/>
  <c r="DK40" i="3"/>
  <c r="DJ40" i="3"/>
  <c r="DI40" i="3"/>
  <c r="DH40" i="3"/>
  <c r="DK39" i="3"/>
  <c r="DJ39" i="3"/>
  <c r="DI39" i="3"/>
  <c r="DH39" i="3"/>
  <c r="DK38" i="3"/>
  <c r="DJ38" i="3"/>
  <c r="DI38" i="3"/>
  <c r="DH38" i="3"/>
  <c r="DK37" i="3"/>
  <c r="DJ37" i="3"/>
  <c r="DI37" i="3"/>
  <c r="DH37" i="3"/>
  <c r="DK34" i="3"/>
  <c r="DJ34" i="3"/>
  <c r="DI34" i="3"/>
  <c r="DH34" i="3"/>
  <c r="DK33" i="3"/>
  <c r="DJ33" i="3"/>
  <c r="DI33" i="3"/>
  <c r="DH33" i="3"/>
  <c r="DK32" i="3"/>
  <c r="DJ32" i="3"/>
  <c r="DI32" i="3"/>
  <c r="DH32" i="3"/>
  <c r="DK31" i="3"/>
  <c r="DJ31" i="3"/>
  <c r="DI31" i="3"/>
  <c r="DH31" i="3"/>
  <c r="DK30" i="3"/>
  <c r="DJ30" i="3"/>
  <c r="DI30" i="3"/>
  <c r="DH30" i="3"/>
  <c r="DK29" i="3"/>
  <c r="DJ29" i="3"/>
  <c r="DI29" i="3"/>
  <c r="DH29" i="3"/>
  <c r="DK28" i="3"/>
  <c r="DJ28" i="3"/>
  <c r="DI28" i="3"/>
  <c r="DH28" i="3"/>
  <c r="DK27" i="3"/>
  <c r="DJ27" i="3"/>
  <c r="DI27" i="3"/>
  <c r="DH27" i="3"/>
  <c r="DK26" i="3"/>
  <c r="DJ26" i="3"/>
  <c r="DI26" i="3"/>
  <c r="DH26" i="3"/>
  <c r="DK25" i="3"/>
  <c r="DJ25" i="3"/>
  <c r="DI25" i="3"/>
  <c r="DH25" i="3"/>
  <c r="DK24" i="3"/>
  <c r="DJ24" i="3"/>
  <c r="DI24" i="3"/>
  <c r="DH24" i="3"/>
  <c r="DK23" i="3"/>
  <c r="DJ23" i="3"/>
  <c r="DI23" i="3"/>
  <c r="DH23" i="3"/>
  <c r="DK20" i="3"/>
  <c r="DJ20" i="3"/>
  <c r="DI20" i="3"/>
  <c r="DH20" i="3"/>
  <c r="DK19" i="3"/>
  <c r="DJ19" i="3"/>
  <c r="DI19" i="3"/>
  <c r="DH19" i="3"/>
  <c r="DK18" i="3"/>
  <c r="DJ18" i="3"/>
  <c r="DI18" i="3"/>
  <c r="DH18" i="3"/>
  <c r="DK17" i="3"/>
  <c r="DJ17" i="3"/>
  <c r="DI17" i="3"/>
  <c r="DH17" i="3"/>
  <c r="DK16" i="3"/>
  <c r="DJ16" i="3"/>
  <c r="DI16" i="3"/>
  <c r="DH16" i="3"/>
  <c r="DK15" i="3"/>
  <c r="DJ15" i="3"/>
  <c r="DI15" i="3"/>
  <c r="DH15" i="3"/>
  <c r="DK11" i="3"/>
  <c r="DJ11" i="3"/>
  <c r="DI11" i="3"/>
  <c r="DH11" i="3"/>
  <c r="DK10" i="3"/>
  <c r="DJ10" i="3"/>
  <c r="DI10" i="3"/>
  <c r="DH10" i="3"/>
  <c r="DK9" i="3"/>
  <c r="DJ9" i="3"/>
  <c r="DI9" i="3"/>
  <c r="DH9" i="3"/>
  <c r="DK8" i="3"/>
  <c r="DJ8" i="3"/>
  <c r="DI8" i="3"/>
  <c r="DH8" i="3"/>
  <c r="DK7" i="3"/>
  <c r="DJ7" i="3"/>
  <c r="DI7" i="3"/>
  <c r="DH7" i="3"/>
  <c r="DK6" i="3"/>
  <c r="DJ6" i="3"/>
  <c r="DI6" i="3"/>
  <c r="DH6" i="3"/>
  <c r="BS11" i="11"/>
  <c r="BR6" i="11"/>
  <c r="BR5" i="11"/>
  <c r="BR4" i="11"/>
  <c r="BR3" i="11"/>
  <c r="BZ68" i="9"/>
  <c r="BY68" i="9"/>
  <c r="BZ65" i="9"/>
  <c r="BY65" i="9"/>
  <c r="G2" i="1"/>
  <c r="G62" i="9"/>
  <c r="M60" i="9"/>
  <c r="G60" i="9"/>
  <c r="G55" i="9"/>
  <c r="F55" i="9"/>
  <c r="E55" i="9"/>
  <c r="P55" i="9"/>
  <c r="O55" i="9" s="1"/>
  <c r="G48" i="9"/>
  <c r="F48" i="9"/>
  <c r="E48" i="9"/>
  <c r="P48" i="9"/>
  <c r="O48" i="9" s="1"/>
  <c r="G52" i="9"/>
  <c r="F52" i="9"/>
  <c r="E52" i="9"/>
  <c r="P52" i="9"/>
  <c r="O52" i="9" s="1"/>
  <c r="G50" i="9"/>
  <c r="F50" i="9"/>
  <c r="E50" i="9"/>
  <c r="P50" i="9"/>
  <c r="O50" i="9" s="1"/>
  <c r="G54" i="9"/>
  <c r="F54" i="9"/>
  <c r="E54" i="9"/>
  <c r="P54" i="9"/>
  <c r="O54" i="9" s="1"/>
  <c r="G53" i="9"/>
  <c r="F53" i="9"/>
  <c r="E53" i="9"/>
  <c r="P53" i="9"/>
  <c r="O53" i="9" s="1"/>
  <c r="G57" i="9"/>
  <c r="F57" i="9"/>
  <c r="E57" i="9"/>
  <c r="P57" i="9"/>
  <c r="O57" i="9" s="1"/>
  <c r="G56" i="9"/>
  <c r="F56" i="9"/>
  <c r="E56" i="9"/>
  <c r="P56" i="9"/>
  <c r="O56" i="9" s="1"/>
  <c r="F49" i="9"/>
  <c r="P49" i="9"/>
  <c r="O49" i="9"/>
  <c r="E49" i="9" s="1"/>
  <c r="G49" i="9" s="1"/>
  <c r="F59" i="9"/>
  <c r="P59" i="9"/>
  <c r="O59" i="9" s="1"/>
  <c r="E59" i="9" s="1"/>
  <c r="G59" i="9" s="1"/>
  <c r="F51" i="9"/>
  <c r="P51" i="9"/>
  <c r="O51" i="9" s="1"/>
  <c r="E51" i="9" s="1"/>
  <c r="G51" i="9" s="1"/>
  <c r="F58" i="9"/>
  <c r="P58" i="9"/>
  <c r="O58" i="9" s="1"/>
  <c r="E58" i="9" s="1"/>
  <c r="G58" i="9" s="1"/>
  <c r="M46" i="9"/>
  <c r="G46" i="9"/>
  <c r="F39" i="9"/>
  <c r="E39" i="9"/>
  <c r="G39" i="9" s="1"/>
  <c r="P39" i="9"/>
  <c r="O39" i="9" s="1"/>
  <c r="G37" i="9"/>
  <c r="F37" i="9"/>
  <c r="E37" i="9"/>
  <c r="P37" i="9"/>
  <c r="O37" i="9" s="1"/>
  <c r="G24" i="9"/>
  <c r="F24" i="9"/>
  <c r="E24" i="9"/>
  <c r="P24" i="9"/>
  <c r="O24" i="9" s="1"/>
  <c r="G44" i="9"/>
  <c r="F44" i="9"/>
  <c r="E44" i="9"/>
  <c r="P44" i="9"/>
  <c r="O44" i="9" s="1"/>
  <c r="G20" i="9"/>
  <c r="F20" i="9"/>
  <c r="E20" i="9"/>
  <c r="P20" i="9"/>
  <c r="O20" i="9" s="1"/>
  <c r="G38" i="9"/>
  <c r="F38" i="9"/>
  <c r="E38" i="9"/>
  <c r="P38" i="9"/>
  <c r="O38" i="9" s="1"/>
  <c r="G43" i="9"/>
  <c r="F43" i="9"/>
  <c r="E43" i="9"/>
  <c r="P43" i="9"/>
  <c r="O43" i="9" s="1"/>
  <c r="F42" i="9"/>
  <c r="P42" i="9"/>
  <c r="O42" i="9"/>
  <c r="E42" i="9" s="1"/>
  <c r="G42" i="9" s="1"/>
  <c r="F23" i="9"/>
  <c r="T23" i="9"/>
  <c r="S23" i="9"/>
  <c r="R23" i="9"/>
  <c r="Q23" i="9"/>
  <c r="P23" i="9"/>
  <c r="F35" i="9"/>
  <c r="P35" i="9"/>
  <c r="O35" i="9" s="1"/>
  <c r="E35" i="9" s="1"/>
  <c r="G35" i="9" s="1"/>
  <c r="F30" i="9"/>
  <c r="P30" i="9"/>
  <c r="O30" i="9" s="1"/>
  <c r="E30" i="9" s="1"/>
  <c r="G30" i="9" s="1"/>
  <c r="F29" i="9"/>
  <c r="P29" i="9"/>
  <c r="O29" i="9" s="1"/>
  <c r="E29" i="9" s="1"/>
  <c r="G29" i="9" s="1"/>
  <c r="F28" i="9"/>
  <c r="P28" i="9"/>
  <c r="O28" i="9" s="1"/>
  <c r="E28" i="9" s="1"/>
  <c r="G28" i="9" s="1"/>
  <c r="F33" i="9"/>
  <c r="P33" i="9"/>
  <c r="O33" i="9" s="1"/>
  <c r="E33" i="9" s="1"/>
  <c r="G33" i="9" s="1"/>
  <c r="F26" i="9"/>
  <c r="Q26" i="9"/>
  <c r="P26" i="9"/>
  <c r="F21" i="9"/>
  <c r="E21" i="9"/>
  <c r="G21" i="9" s="1"/>
  <c r="P21" i="9"/>
  <c r="O21" i="9" s="1"/>
  <c r="F45" i="9"/>
  <c r="E45" i="9"/>
  <c r="G45" i="9" s="1"/>
  <c r="P45" i="9"/>
  <c r="O45" i="9" s="1"/>
  <c r="F31" i="9"/>
  <c r="Q31" i="9"/>
  <c r="P31" i="9"/>
  <c r="F41" i="9"/>
  <c r="P41" i="9"/>
  <c r="O41" i="9" s="1"/>
  <c r="E41" i="9" s="1"/>
  <c r="G41" i="9" s="1"/>
  <c r="G22" i="9"/>
  <c r="F22" i="9"/>
  <c r="E22" i="9"/>
  <c r="P22" i="9"/>
  <c r="O22" i="9" s="1"/>
  <c r="F32" i="9"/>
  <c r="P32" i="9"/>
  <c r="O32" i="9"/>
  <c r="E32" i="9" s="1"/>
  <c r="G32" i="9" s="1"/>
  <c r="F40" i="9"/>
  <c r="P40" i="9"/>
  <c r="O40" i="9" s="1"/>
  <c r="E40" i="9" s="1"/>
  <c r="G40" i="9" s="1"/>
  <c r="F36" i="9"/>
  <c r="E36" i="9"/>
  <c r="G36" i="9" s="1"/>
  <c r="P36" i="9"/>
  <c r="O36" i="9" s="1"/>
  <c r="F27" i="9"/>
  <c r="E27" i="9"/>
  <c r="G27" i="9" s="1"/>
  <c r="P27" i="9"/>
  <c r="O27" i="9"/>
  <c r="F25" i="9"/>
  <c r="P25" i="9"/>
  <c r="O25" i="9" s="1"/>
  <c r="E25" i="9" s="1"/>
  <c r="G25" i="9" s="1"/>
  <c r="F34" i="9"/>
  <c r="P34" i="9"/>
  <c r="O34" i="9" s="1"/>
  <c r="E34" i="9" s="1"/>
  <c r="G34" i="9" s="1"/>
  <c r="BS11" i="9"/>
  <c r="BR6" i="9"/>
  <c r="BR5" i="9"/>
  <c r="BR4" i="9"/>
  <c r="BR3" i="9"/>
  <c r="BZ181" i="7"/>
  <c r="BY181" i="7"/>
  <c r="BZ178" i="7"/>
  <c r="BY178" i="7"/>
  <c r="BZ172" i="7"/>
  <c r="BY172" i="7"/>
  <c r="BZ169" i="7"/>
  <c r="BY169" i="7"/>
  <c r="J37" i="7"/>
  <c r="I37" i="7"/>
  <c r="E26" i="7"/>
  <c r="J165" i="7"/>
  <c r="J164" i="7"/>
  <c r="J163" i="7"/>
  <c r="H163" i="7"/>
  <c r="J161" i="7"/>
  <c r="H161" i="7"/>
  <c r="J160" i="7"/>
  <c r="H160" i="7"/>
  <c r="J159" i="7"/>
  <c r="H159" i="7"/>
  <c r="J158" i="7"/>
  <c r="H158" i="7"/>
  <c r="J156" i="7"/>
  <c r="H156" i="7"/>
  <c r="J155" i="7"/>
  <c r="H155" i="7"/>
  <c r="J154" i="7"/>
  <c r="H154" i="7"/>
  <c r="J38" i="7"/>
  <c r="I38" i="7"/>
  <c r="J39" i="7"/>
  <c r="I39" i="7"/>
  <c r="G8" i="1"/>
  <c r="J151" i="7"/>
  <c r="Q151" i="7"/>
  <c r="H151" i="7"/>
  <c r="P151" i="7"/>
  <c r="FV14" i="6"/>
  <c r="FU14" i="6"/>
  <c r="FT14" i="6"/>
  <c r="FS14" i="6"/>
  <c r="FR14" i="6"/>
  <c r="FQ14" i="6"/>
  <c r="FP14" i="6"/>
  <c r="FO14" i="6"/>
  <c r="FN14" i="6"/>
  <c r="FM14" i="6"/>
  <c r="FL14" i="6"/>
  <c r="FK14" i="6"/>
  <c r="FJ14" i="6"/>
  <c r="FI14" i="6"/>
  <c r="FH14" i="6"/>
  <c r="FG14" i="6"/>
  <c r="FF14" i="6"/>
  <c r="FE14" i="6"/>
  <c r="FD14" i="6"/>
  <c r="FC14" i="6"/>
  <c r="FB14" i="6"/>
  <c r="FA14" i="6"/>
  <c r="EZ14" i="6"/>
  <c r="EY14" i="6"/>
  <c r="EX14" i="6"/>
  <c r="EW14" i="6"/>
  <c r="EV14" i="6"/>
  <c r="EU14" i="6"/>
  <c r="ET14" i="6"/>
  <c r="FV151" i="7"/>
  <c r="FU151" i="7"/>
  <c r="FT151" i="7"/>
  <c r="FS151" i="7"/>
  <c r="FR151" i="7"/>
  <c r="FQ151" i="7"/>
  <c r="FP151" i="7"/>
  <c r="FO151" i="7"/>
  <c r="FN151" i="7"/>
  <c r="FM151" i="7"/>
  <c r="FL151" i="7"/>
  <c r="FK151" i="7"/>
  <c r="FJ151" i="7"/>
  <c r="FI151" i="7"/>
  <c r="FH151" i="7"/>
  <c r="FG151" i="7"/>
  <c r="FF151" i="7"/>
  <c r="FE151" i="7"/>
  <c r="FD151" i="7"/>
  <c r="FC151" i="7"/>
  <c r="FB151" i="7"/>
  <c r="FA151" i="7"/>
  <c r="EZ151" i="7"/>
  <c r="EY151" i="7"/>
  <c r="EX151" i="7"/>
  <c r="EW151" i="7"/>
  <c r="EV151" i="7"/>
  <c r="EU151" i="7"/>
  <c r="ET151" i="7"/>
  <c r="DY14" i="6"/>
  <c r="DX14" i="6"/>
  <c r="DW14" i="6"/>
  <c r="DU14" i="6"/>
  <c r="DT14" i="6"/>
  <c r="DS14" i="6"/>
  <c r="DR14" i="6"/>
  <c r="DQ14" i="6"/>
  <c r="DP14" i="6"/>
  <c r="DO14" i="6"/>
  <c r="DN14" i="6"/>
  <c r="DM14" i="6"/>
  <c r="DL14" i="6"/>
  <c r="DK14" i="6"/>
  <c r="DJ14" i="6"/>
  <c r="DI14" i="6"/>
  <c r="DH14" i="6"/>
  <c r="DG14" i="6"/>
  <c r="DF14" i="6"/>
  <c r="DE14" i="6"/>
  <c r="DD14" i="6"/>
  <c r="DC14" i="6"/>
  <c r="DB14" i="6"/>
  <c r="DA14" i="6"/>
  <c r="CZ14" i="6"/>
  <c r="CY14" i="6"/>
  <c r="CX14" i="6"/>
  <c r="CW14" i="6"/>
  <c r="DY151" i="7"/>
  <c r="DX151" i="7"/>
  <c r="DW151" i="7"/>
  <c r="DU151" i="7"/>
  <c r="DT151" i="7"/>
  <c r="DS151" i="7"/>
  <c r="DR151" i="7"/>
  <c r="DQ151" i="7"/>
  <c r="DP151" i="7"/>
  <c r="DO151" i="7"/>
  <c r="DN151" i="7"/>
  <c r="DM151" i="7"/>
  <c r="DL151" i="7"/>
  <c r="DK151" i="7"/>
  <c r="DJ151" i="7"/>
  <c r="DI151" i="7"/>
  <c r="DH151" i="7"/>
  <c r="DG151" i="7"/>
  <c r="DF151" i="7"/>
  <c r="DE151" i="7"/>
  <c r="DD151" i="7"/>
  <c r="DC151" i="7"/>
  <c r="DB151" i="7"/>
  <c r="DA151" i="7"/>
  <c r="CZ151" i="7"/>
  <c r="CY151" i="7"/>
  <c r="CX151" i="7"/>
  <c r="CW151" i="7"/>
  <c r="BC65" i="1"/>
  <c r="ES65" i="1"/>
  <c r="AL65" i="1"/>
  <c r="I65" i="1"/>
  <c r="GX148" i="7" s="1"/>
  <c r="I64" i="1"/>
  <c r="DW65" i="1"/>
  <c r="G65" i="1"/>
  <c r="F65" i="1"/>
  <c r="BC63" i="1"/>
  <c r="GW145" i="7"/>
  <c r="ES63" i="1"/>
  <c r="AL63" i="1"/>
  <c r="I63" i="1"/>
  <c r="GX145" i="7" s="1"/>
  <c r="I62" i="1"/>
  <c r="DW63" i="1"/>
  <c r="G63" i="1"/>
  <c r="F63" i="1"/>
  <c r="BC61" i="1"/>
  <c r="ES61" i="1"/>
  <c r="AL61" i="1"/>
  <c r="I61" i="1"/>
  <c r="GX142" i="7" s="1"/>
  <c r="I60" i="1"/>
  <c r="DW61" i="1"/>
  <c r="G61" i="1"/>
  <c r="F61" i="1"/>
  <c r="BC59" i="1"/>
  <c r="ES59" i="1"/>
  <c r="AL59" i="1"/>
  <c r="I59" i="1"/>
  <c r="GX139" i="7" s="1"/>
  <c r="I58" i="1"/>
  <c r="DW59" i="1"/>
  <c r="G59" i="1"/>
  <c r="F59" i="1"/>
  <c r="BC57" i="1"/>
  <c r="ES57" i="1"/>
  <c r="AL57" i="1"/>
  <c r="I57" i="1"/>
  <c r="GX136" i="7" s="1"/>
  <c r="I56" i="1"/>
  <c r="DW57" i="1"/>
  <c r="G57" i="1"/>
  <c r="F57" i="1"/>
  <c r="BC55" i="1"/>
  <c r="ES55" i="1"/>
  <c r="AL55" i="1"/>
  <c r="I55" i="1"/>
  <c r="GX134" i="7" s="1"/>
  <c r="I54" i="1"/>
  <c r="DW55" i="1"/>
  <c r="G55" i="1"/>
  <c r="F55" i="1"/>
  <c r="BC53" i="1"/>
  <c r="ES53" i="1"/>
  <c r="AL53" i="1"/>
  <c r="I53" i="1"/>
  <c r="GX131" i="7" s="1"/>
  <c r="I52" i="1"/>
  <c r="DW53" i="1"/>
  <c r="G53" i="1"/>
  <c r="F53" i="1"/>
  <c r="BC51" i="1"/>
  <c r="ES51" i="1"/>
  <c r="AL51" i="1"/>
  <c r="I51" i="1"/>
  <c r="GX128" i="7" s="1"/>
  <c r="I50" i="1"/>
  <c r="DW51" i="1"/>
  <c r="G51" i="1"/>
  <c r="F51" i="1"/>
  <c r="BC49" i="1"/>
  <c r="ES49" i="1"/>
  <c r="AL49" i="1"/>
  <c r="I49" i="1"/>
  <c r="GX125" i="7" s="1"/>
  <c r="I48" i="1"/>
  <c r="DW49" i="1"/>
  <c r="G49" i="1"/>
  <c r="F49" i="1"/>
  <c r="BC47" i="1"/>
  <c r="ES47" i="1"/>
  <c r="AL47" i="1"/>
  <c r="I47" i="1"/>
  <c r="GX122" i="7" s="1"/>
  <c r="I46" i="1"/>
  <c r="DW47" i="1"/>
  <c r="G47" i="1"/>
  <c r="F47" i="1"/>
  <c r="BC45" i="1"/>
  <c r="ES45" i="1"/>
  <c r="AL45" i="1"/>
  <c r="I45" i="1"/>
  <c r="GX119" i="7" s="1"/>
  <c r="I44" i="1"/>
  <c r="DW45" i="1"/>
  <c r="G45" i="1"/>
  <c r="F45" i="1"/>
  <c r="BC43" i="1"/>
  <c r="ES43" i="1"/>
  <c r="AL43" i="1"/>
  <c r="I43" i="1"/>
  <c r="GX116" i="7" s="1"/>
  <c r="I42" i="1"/>
  <c r="DW43" i="1"/>
  <c r="G43" i="1"/>
  <c r="F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EW39" i="1"/>
  <c r="AQ39" i="1"/>
  <c r="BA39" i="1"/>
  <c r="EV39" i="1"/>
  <c r="ER39" i="1" s="1"/>
  <c r="AO39" i="1"/>
  <c r="AK39" i="1" s="1"/>
  <c r="F102" i="7" s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7" i="7" s="1"/>
  <c r="I36" i="1"/>
  <c r="DW37" i="1"/>
  <c r="EW35" i="1"/>
  <c r="AQ35" i="1"/>
  <c r="BC35" i="1"/>
  <c r="ES35" i="1"/>
  <c r="AL35" i="1"/>
  <c r="BA35" i="1"/>
  <c r="EV35" i="1"/>
  <c r="AO35" i="1"/>
  <c r="I35" i="1"/>
  <c r="GW88" i="7" s="1"/>
  <c r="I34" i="1"/>
  <c r="DW35" i="1"/>
  <c r="EW33" i="1"/>
  <c r="AQ33" i="1"/>
  <c r="BC33" i="1"/>
  <c r="ES33" i="1"/>
  <c r="AL33" i="1"/>
  <c r="BA33" i="1"/>
  <c r="EV33" i="1"/>
  <c r="AO33" i="1"/>
  <c r="I33" i="1"/>
  <c r="GW81" i="7" s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4" i="7" s="1"/>
  <c r="I30" i="1"/>
  <c r="DW31" i="1"/>
  <c r="EW29" i="1"/>
  <c r="AQ29" i="1"/>
  <c r="BC29" i="1"/>
  <c r="ES29" i="1"/>
  <c r="AL29" i="1"/>
  <c r="BB29" i="1"/>
  <c r="ET29" i="1"/>
  <c r="AM29" i="1"/>
  <c r="BA29" i="1"/>
  <c r="EV29" i="1"/>
  <c r="AO29" i="1"/>
  <c r="I29" i="1"/>
  <c r="GW65" i="7" s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7" i="7" s="1"/>
  <c r="I26" i="1"/>
  <c r="DW27" i="1"/>
  <c r="EW25" i="1"/>
  <c r="AQ25" i="1"/>
  <c r="BA25" i="1"/>
  <c r="EV25" i="1"/>
  <c r="ER25" i="1" s="1"/>
  <c r="AO25" i="1"/>
  <c r="AK25" i="1" s="1"/>
  <c r="F47" i="7" s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O23" i="9" l="1"/>
  <c r="E23" i="9" s="1"/>
  <c r="G23" i="9" s="1"/>
  <c r="O26" i="9"/>
  <c r="E26" i="9" s="1"/>
  <c r="G26" i="9" s="1"/>
  <c r="O31" i="9"/>
  <c r="E31" i="9" s="1"/>
  <c r="G31" i="9" s="1"/>
  <c r="GW148" i="7"/>
  <c r="GW134" i="7"/>
  <c r="GW142" i="7"/>
  <c r="GW139" i="7"/>
  <c r="GW136" i="7"/>
  <c r="GW128" i="7"/>
  <c r="GW131" i="7"/>
  <c r="GW116" i="7"/>
  <c r="GW125" i="7"/>
  <c r="GW122" i="7"/>
  <c r="GW119" i="7"/>
  <c r="GX88" i="7"/>
  <c r="AK41" i="1"/>
  <c r="F108" i="7" s="1"/>
  <c r="ER41" i="1"/>
  <c r="GX97" i="7"/>
  <c r="AK33" i="1"/>
  <c r="F79" i="7" s="1"/>
  <c r="ER37" i="1"/>
  <c r="AK37" i="1"/>
  <c r="F93" i="7" s="1"/>
  <c r="ER35" i="1"/>
  <c r="AK35" i="1"/>
  <c r="F86" i="7" s="1"/>
  <c r="GX81" i="7"/>
  <c r="ER33" i="1"/>
  <c r="GX74" i="7"/>
  <c r="GX65" i="7"/>
  <c r="ER31" i="1"/>
  <c r="AK31" i="1"/>
  <c r="F70" i="7" s="1"/>
  <c r="ER29" i="1"/>
  <c r="AK29" i="1"/>
  <c r="F62" i="7" s="1"/>
  <c r="GX57" i="7"/>
  <c r="AK27" i="1"/>
  <c r="F53" i="7" s="1"/>
  <c r="ER27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" i="3"/>
  <c r="CX1" i="3"/>
  <c r="CY1" i="3"/>
  <c r="CZ1" i="3"/>
  <c r="DA1" i="3"/>
  <c r="DB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A4" i="3"/>
  <c r="DB4" i="3"/>
  <c r="DC4" i="3"/>
  <c r="A5" i="3"/>
  <c r="CX5" i="3"/>
  <c r="CY5" i="3"/>
  <c r="CZ5" i="3"/>
  <c r="DA5" i="3"/>
  <c r="DB5" i="3"/>
  <c r="DC5" i="3"/>
  <c r="A6" i="3"/>
  <c r="CX6" i="3"/>
  <c r="CY6" i="3"/>
  <c r="CZ6" i="3"/>
  <c r="DB6" i="3" s="1"/>
  <c r="DA6" i="3"/>
  <c r="DC6" i="3"/>
  <c r="A7" i="3"/>
  <c r="CX7" i="3"/>
  <c r="CY7" i="3"/>
  <c r="CZ7" i="3"/>
  <c r="DB7" i="3" s="1"/>
  <c r="DA7" i="3"/>
  <c r="DC7" i="3"/>
  <c r="A8" i="3"/>
  <c r="CX8" i="3"/>
  <c r="CY8" i="3"/>
  <c r="CZ8" i="3"/>
  <c r="DA8" i="3"/>
  <c r="DB8" i="3"/>
  <c r="DC8" i="3"/>
  <c r="A9" i="3"/>
  <c r="CX9" i="3"/>
  <c r="CY9" i="3"/>
  <c r="CZ9" i="3"/>
  <c r="DA9" i="3"/>
  <c r="DB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A12" i="3"/>
  <c r="DB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A16" i="3"/>
  <c r="DB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A20" i="3"/>
  <c r="DB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B22" i="3" s="1"/>
  <c r="DA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A24" i="3"/>
  <c r="DB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A28" i="3"/>
  <c r="DB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A32" i="3"/>
  <c r="DB32" i="3"/>
  <c r="DC32" i="3"/>
  <c r="A33" i="3"/>
  <c r="CX33" i="3"/>
  <c r="CY33" i="3"/>
  <c r="CZ33" i="3"/>
  <c r="DA33" i="3"/>
  <c r="DB33" i="3"/>
  <c r="DC33" i="3"/>
  <c r="A34" i="3"/>
  <c r="CX34" i="3"/>
  <c r="CY34" i="3"/>
  <c r="CZ34" i="3"/>
  <c r="DB34" i="3" s="1"/>
  <c r="DA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A36" i="3"/>
  <c r="DB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B38" i="3" s="1"/>
  <c r="DA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A40" i="3"/>
  <c r="DB40" i="3"/>
  <c r="DC40" i="3"/>
  <c r="A41" i="3"/>
  <c r="CX41" i="3"/>
  <c r="CY41" i="3"/>
  <c r="CZ41" i="3"/>
  <c r="DA41" i="3"/>
  <c r="DB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A44" i="3"/>
  <c r="DB44" i="3"/>
  <c r="DC44" i="3"/>
  <c r="A45" i="3"/>
  <c r="CX45" i="3"/>
  <c r="CY45" i="3"/>
  <c r="CZ45" i="3"/>
  <c r="DA45" i="3"/>
  <c r="DB45" i="3"/>
  <c r="DC45" i="3"/>
  <c r="A46" i="3"/>
  <c r="CX46" i="3"/>
  <c r="CY46" i="3"/>
  <c r="CZ46" i="3"/>
  <c r="DB46" i="3" s="1"/>
  <c r="DA46" i="3"/>
  <c r="DC46" i="3"/>
  <c r="A47" i="3"/>
  <c r="CX47" i="3"/>
  <c r="CY47" i="3"/>
  <c r="CZ47" i="3"/>
  <c r="DB47" i="3" s="1"/>
  <c r="DA47" i="3"/>
  <c r="DC47" i="3"/>
  <c r="A48" i="3"/>
  <c r="CX48" i="3"/>
  <c r="CY48" i="3"/>
  <c r="CZ48" i="3"/>
  <c r="DA48" i="3"/>
  <c r="DB48" i="3"/>
  <c r="DC48" i="3"/>
  <c r="A49" i="3"/>
  <c r="CX49" i="3"/>
  <c r="CY49" i="3"/>
  <c r="CZ49" i="3"/>
  <c r="DA49" i="3"/>
  <c r="DB49" i="3"/>
  <c r="DC49" i="3"/>
  <c r="A50" i="3"/>
  <c r="CX50" i="3"/>
  <c r="CY50" i="3"/>
  <c r="CZ50" i="3"/>
  <c r="DB50" i="3" s="1"/>
  <c r="DA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A52" i="3"/>
  <c r="DB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A56" i="3"/>
  <c r="DB56" i="3"/>
  <c r="DC56" i="3"/>
  <c r="A57" i="3"/>
  <c r="CX57" i="3"/>
  <c r="CY57" i="3"/>
  <c r="CZ57" i="3"/>
  <c r="DA57" i="3"/>
  <c r="DB57" i="3"/>
  <c r="DC57" i="3"/>
  <c r="A58" i="3"/>
  <c r="CX58" i="3"/>
  <c r="CY58" i="3"/>
  <c r="CZ58" i="3"/>
  <c r="DB58" i="3" s="1"/>
  <c r="DA58" i="3"/>
  <c r="DC58" i="3"/>
  <c r="A59" i="3"/>
  <c r="CX59" i="3"/>
  <c r="CY59" i="3"/>
  <c r="CZ59" i="3"/>
  <c r="DB59" i="3" s="1"/>
  <c r="DA59" i="3"/>
  <c r="DC59" i="3"/>
  <c r="A60" i="3"/>
  <c r="CX60" i="3"/>
  <c r="CY60" i="3"/>
  <c r="CZ60" i="3"/>
  <c r="DA60" i="3"/>
  <c r="DB60" i="3"/>
  <c r="DC60" i="3"/>
  <c r="A61" i="3"/>
  <c r="CX61" i="3"/>
  <c r="CY61" i="3"/>
  <c r="CZ61" i="3"/>
  <c r="DA61" i="3"/>
  <c r="DB61" i="3"/>
  <c r="DC61" i="3"/>
  <c r="A62" i="3"/>
  <c r="CX62" i="3"/>
  <c r="CY62" i="3"/>
  <c r="CZ62" i="3"/>
  <c r="DB62" i="3" s="1"/>
  <c r="DA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A64" i="3"/>
  <c r="DB64" i="3"/>
  <c r="DC64" i="3"/>
  <c r="A65" i="3"/>
  <c r="CX65" i="3"/>
  <c r="CY65" i="3"/>
  <c r="CZ65" i="3"/>
  <c r="DA65" i="3"/>
  <c r="DB65" i="3"/>
  <c r="DC65" i="3"/>
  <c r="A66" i="3"/>
  <c r="CX66" i="3"/>
  <c r="CY66" i="3"/>
  <c r="CZ66" i="3"/>
  <c r="DB66" i="3" s="1"/>
  <c r="DA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A68" i="3"/>
  <c r="DB68" i="3"/>
  <c r="DC68" i="3"/>
  <c r="A69" i="3"/>
  <c r="CX69" i="3"/>
  <c r="CY69" i="3"/>
  <c r="CZ69" i="3"/>
  <c r="DA69" i="3"/>
  <c r="DB69" i="3"/>
  <c r="DC69" i="3"/>
  <c r="A70" i="3"/>
  <c r="CX70" i="3"/>
  <c r="CY70" i="3"/>
  <c r="CZ70" i="3"/>
  <c r="DB70" i="3" s="1"/>
  <c r="DA70" i="3"/>
  <c r="DC70" i="3"/>
  <c r="A71" i="3"/>
  <c r="CX71" i="3"/>
  <c r="CY71" i="3"/>
  <c r="CZ71" i="3"/>
  <c r="DB71" i="3" s="1"/>
  <c r="DA71" i="3"/>
  <c r="DC71" i="3"/>
  <c r="A72" i="3"/>
  <c r="CX72" i="3"/>
  <c r="CY72" i="3"/>
  <c r="CZ72" i="3"/>
  <c r="DA72" i="3"/>
  <c r="DB72" i="3"/>
  <c r="DC72" i="3"/>
  <c r="A73" i="3"/>
  <c r="CX73" i="3"/>
  <c r="CY73" i="3"/>
  <c r="CZ73" i="3"/>
  <c r="DA73" i="3"/>
  <c r="DB73" i="3"/>
  <c r="DC73" i="3"/>
  <c r="A74" i="3"/>
  <c r="CX74" i="3"/>
  <c r="CY74" i="3"/>
  <c r="CZ74" i="3"/>
  <c r="DB74" i="3" s="1"/>
  <c r="DA74" i="3"/>
  <c r="DC74" i="3"/>
  <c r="A75" i="3"/>
  <c r="CX75" i="3"/>
  <c r="CY75" i="3"/>
  <c r="CZ75" i="3"/>
  <c r="DB75" i="3" s="1"/>
  <c r="DA75" i="3"/>
  <c r="DC75" i="3"/>
  <c r="A76" i="3"/>
  <c r="CX76" i="3"/>
  <c r="CY76" i="3"/>
  <c r="CZ76" i="3"/>
  <c r="DA76" i="3"/>
  <c r="DB76" i="3"/>
  <c r="DC76" i="3"/>
  <c r="A77" i="3"/>
  <c r="CX77" i="3"/>
  <c r="CY77" i="3"/>
  <c r="CZ77" i="3"/>
  <c r="DA77" i="3"/>
  <c r="DB77" i="3"/>
  <c r="DC77" i="3"/>
  <c r="A78" i="3"/>
  <c r="CX78" i="3"/>
  <c r="CY78" i="3"/>
  <c r="CZ78" i="3"/>
  <c r="DB78" i="3" s="1"/>
  <c r="DA78" i="3"/>
  <c r="DC78" i="3"/>
  <c r="A79" i="3"/>
  <c r="CX79" i="3"/>
  <c r="CY79" i="3"/>
  <c r="CZ79" i="3"/>
  <c r="DB79" i="3" s="1"/>
  <c r="DA79" i="3"/>
  <c r="DC79" i="3"/>
  <c r="A80" i="3"/>
  <c r="CX80" i="3"/>
  <c r="CY80" i="3"/>
  <c r="CZ80" i="3"/>
  <c r="DA80" i="3"/>
  <c r="DB80" i="3"/>
  <c r="DC80" i="3"/>
  <c r="A81" i="3"/>
  <c r="CX81" i="3"/>
  <c r="CY81" i="3"/>
  <c r="CZ81" i="3"/>
  <c r="DA81" i="3"/>
  <c r="DB81" i="3"/>
  <c r="DC81" i="3"/>
  <c r="A82" i="3"/>
  <c r="CX82" i="3"/>
  <c r="CY82" i="3"/>
  <c r="CZ82" i="3"/>
  <c r="DB82" i="3" s="1"/>
  <c r="DA82" i="3"/>
  <c r="DC82" i="3"/>
  <c r="A83" i="3"/>
  <c r="CX83" i="3"/>
  <c r="CY83" i="3"/>
  <c r="CZ83" i="3"/>
  <c r="DB83" i="3" s="1"/>
  <c r="DA83" i="3"/>
  <c r="DC83" i="3"/>
  <c r="A84" i="3"/>
  <c r="CX84" i="3"/>
  <c r="CY84" i="3"/>
  <c r="CZ84" i="3"/>
  <c r="DA84" i="3"/>
  <c r="DB84" i="3"/>
  <c r="DC84" i="3"/>
  <c r="A85" i="3"/>
  <c r="CX85" i="3"/>
  <c r="CY85" i="3"/>
  <c r="CZ85" i="3"/>
  <c r="DA85" i="3"/>
  <c r="DB85" i="3"/>
  <c r="DC85" i="3"/>
  <c r="A86" i="3"/>
  <c r="CX86" i="3"/>
  <c r="CY86" i="3"/>
  <c r="CZ86" i="3"/>
  <c r="DB86" i="3" s="1"/>
  <c r="DA86" i="3"/>
  <c r="DC86" i="3"/>
  <c r="A87" i="3"/>
  <c r="CX87" i="3"/>
  <c r="CY87" i="3"/>
  <c r="CZ87" i="3"/>
  <c r="DB87" i="3" s="1"/>
  <c r="DA87" i="3"/>
  <c r="DC87" i="3"/>
  <c r="A88" i="3"/>
  <c r="CX88" i="3"/>
  <c r="CY88" i="3"/>
  <c r="CZ88" i="3"/>
  <c r="DA88" i="3"/>
  <c r="DB88" i="3"/>
  <c r="DC88" i="3"/>
  <c r="A89" i="3"/>
  <c r="CX89" i="3"/>
  <c r="CY89" i="3"/>
  <c r="CZ89" i="3"/>
  <c r="DA89" i="3"/>
  <c r="DB89" i="3"/>
  <c r="DC89" i="3"/>
  <c r="A90" i="3"/>
  <c r="CX90" i="3"/>
  <c r="CY90" i="3"/>
  <c r="CZ90" i="3"/>
  <c r="DB90" i="3" s="1"/>
  <c r="DA90" i="3"/>
  <c r="DC90" i="3"/>
  <c r="A91" i="3"/>
  <c r="CX91" i="3"/>
  <c r="CY91" i="3"/>
  <c r="CZ91" i="3"/>
  <c r="DB91" i="3" s="1"/>
  <c r="DA91" i="3"/>
  <c r="DC91" i="3"/>
  <c r="A92" i="3"/>
  <c r="CX92" i="3"/>
  <c r="CY92" i="3"/>
  <c r="CZ92" i="3"/>
  <c r="DA92" i="3"/>
  <c r="DB92" i="3"/>
  <c r="DC92" i="3"/>
  <c r="A93" i="3"/>
  <c r="CX93" i="3"/>
  <c r="CY93" i="3"/>
  <c r="CZ93" i="3"/>
  <c r="DA93" i="3"/>
  <c r="DB93" i="3"/>
  <c r="DC93" i="3"/>
  <c r="A94" i="3"/>
  <c r="CX94" i="3"/>
  <c r="CY94" i="3"/>
  <c r="CZ94" i="3"/>
  <c r="DB94" i="3" s="1"/>
  <c r="DA94" i="3"/>
  <c r="DC94" i="3"/>
  <c r="A95" i="3"/>
  <c r="CX95" i="3"/>
  <c r="CY95" i="3"/>
  <c r="CZ95" i="3"/>
  <c r="DB95" i="3" s="1"/>
  <c r="DA95" i="3"/>
  <c r="DC95" i="3"/>
  <c r="A96" i="3"/>
  <c r="CX96" i="3"/>
  <c r="CY96" i="3"/>
  <c r="CZ96" i="3"/>
  <c r="DA96" i="3"/>
  <c r="DB96" i="3"/>
  <c r="DC96" i="3"/>
  <c r="A97" i="3"/>
  <c r="CX97" i="3"/>
  <c r="CY97" i="3"/>
  <c r="CZ97" i="3"/>
  <c r="DA97" i="3"/>
  <c r="DB97" i="3"/>
  <c r="DC97" i="3"/>
  <c r="A98" i="3"/>
  <c r="CX98" i="3"/>
  <c r="CY98" i="3"/>
  <c r="CZ98" i="3"/>
  <c r="DB98" i="3" s="1"/>
  <c r="DA98" i="3"/>
  <c r="DC98" i="3"/>
  <c r="A99" i="3"/>
  <c r="CX99" i="3"/>
  <c r="CY99" i="3"/>
  <c r="CZ99" i="3"/>
  <c r="DB99" i="3" s="1"/>
  <c r="DA99" i="3"/>
  <c r="DC99" i="3"/>
  <c r="A100" i="3"/>
  <c r="CX100" i="3"/>
  <c r="CY100" i="3"/>
  <c r="CZ100" i="3"/>
  <c r="DA100" i="3"/>
  <c r="DB100" i="3"/>
  <c r="DC100" i="3"/>
  <c r="A101" i="3"/>
  <c r="CX101" i="3"/>
  <c r="CY101" i="3"/>
  <c r="CZ101" i="3"/>
  <c r="DA101" i="3"/>
  <c r="DB101" i="3"/>
  <c r="DC101" i="3"/>
  <c r="A102" i="3"/>
  <c r="CX102" i="3"/>
  <c r="CY102" i="3"/>
  <c r="CZ102" i="3"/>
  <c r="DB102" i="3" s="1"/>
  <c r="DA102" i="3"/>
  <c r="DC102" i="3"/>
  <c r="A103" i="3"/>
  <c r="CX103" i="3"/>
  <c r="CY103" i="3"/>
  <c r="CZ103" i="3"/>
  <c r="DB103" i="3" s="1"/>
  <c r="DA103" i="3"/>
  <c r="DC103" i="3"/>
  <c r="A104" i="3"/>
  <c r="CX104" i="3"/>
  <c r="CY104" i="3"/>
  <c r="CZ104" i="3"/>
  <c r="DA104" i="3"/>
  <c r="DB104" i="3"/>
  <c r="DC104" i="3"/>
  <c r="A105" i="3"/>
  <c r="CX105" i="3"/>
  <c r="CY105" i="3"/>
  <c r="CZ105" i="3"/>
  <c r="DA105" i="3"/>
  <c r="DB105" i="3"/>
  <c r="DC105" i="3"/>
  <c r="A106" i="3"/>
  <c r="CX106" i="3"/>
  <c r="CY106" i="3"/>
  <c r="CZ106" i="3"/>
  <c r="DB106" i="3" s="1"/>
  <c r="DA106" i="3"/>
  <c r="DC106" i="3"/>
  <c r="A107" i="3"/>
  <c r="CX107" i="3"/>
  <c r="CY107" i="3"/>
  <c r="CZ107" i="3"/>
  <c r="DB107" i="3" s="1"/>
  <c r="DA107" i="3"/>
  <c r="DC107" i="3"/>
  <c r="A108" i="3"/>
  <c r="CX108" i="3"/>
  <c r="CY108" i="3"/>
  <c r="CZ108" i="3"/>
  <c r="DA108" i="3"/>
  <c r="DB108" i="3"/>
  <c r="DC10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B24" i="1" s="1"/>
  <c r="AE24" i="1"/>
  <c r="AD24" i="1" s="1"/>
  <c r="CR24" i="1" s="1"/>
  <c r="Q24" i="1" s="1"/>
  <c r="AF24" i="1"/>
  <c r="AG24" i="1"/>
  <c r="AH24" i="1"/>
  <c r="AI24" i="1"/>
  <c r="CW24" i="1" s="1"/>
  <c r="V24" i="1" s="1"/>
  <c r="AJ24" i="1"/>
  <c r="CQ24" i="1"/>
  <c r="P24" i="1" s="1"/>
  <c r="CT24" i="1"/>
  <c r="S24" i="1" s="1"/>
  <c r="CU24" i="1"/>
  <c r="T24" i="1" s="1"/>
  <c r="CV24" i="1"/>
  <c r="U24" i="1" s="1"/>
  <c r="CX24" i="1"/>
  <c r="W24" i="1" s="1"/>
  <c r="FR24" i="1"/>
  <c r="GL24" i="1"/>
  <c r="GO24" i="1"/>
  <c r="GP24" i="1"/>
  <c r="GV24" i="1"/>
  <c r="HC24" i="1" s="1"/>
  <c r="GX24" i="1" s="1"/>
  <c r="C25" i="1"/>
  <c r="D25" i="1"/>
  <c r="W25" i="1"/>
  <c r="AC25" i="1"/>
  <c r="AE25" i="1"/>
  <c r="AD25" i="1" s="1"/>
  <c r="CR25" i="1" s="1"/>
  <c r="Q25" i="1" s="1"/>
  <c r="AF25" i="1"/>
  <c r="AG25" i="1"/>
  <c r="CU25" i="1" s="1"/>
  <c r="T25" i="1" s="1"/>
  <c r="AH25" i="1"/>
  <c r="H51" i="7" s="1"/>
  <c r="AI25" i="1"/>
  <c r="AJ25" i="1"/>
  <c r="CS25" i="1"/>
  <c r="R25" i="1" s="1"/>
  <c r="CW25" i="1"/>
  <c r="V25" i="1" s="1"/>
  <c r="CX25" i="1"/>
  <c r="FR25" i="1"/>
  <c r="GL25" i="1"/>
  <c r="GO25" i="1"/>
  <c r="GP25" i="1"/>
  <c r="GV25" i="1"/>
  <c r="HC25" i="1"/>
  <c r="GX25" i="1" s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CU26" i="1"/>
  <c r="T26" i="1" s="1"/>
  <c r="CW26" i="1"/>
  <c r="V26" i="1" s="1"/>
  <c r="FR26" i="1"/>
  <c r="GL26" i="1"/>
  <c r="GO26" i="1"/>
  <c r="GP26" i="1"/>
  <c r="GV26" i="1"/>
  <c r="HC26" i="1"/>
  <c r="GX26" i="1" s="1"/>
  <c r="C27" i="1"/>
  <c r="D27" i="1"/>
  <c r="AC27" i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O27" i="1"/>
  <c r="GP27" i="1"/>
  <c r="GV27" i="1"/>
  <c r="HC27" i="1" s="1"/>
  <c r="GX27" i="1" s="1"/>
  <c r="C28" i="1"/>
  <c r="D28" i="1"/>
  <c r="AC28" i="1"/>
  <c r="AD28" i="1"/>
  <c r="CR28" i="1" s="1"/>
  <c r="Q28" i="1" s="1"/>
  <c r="AE28" i="1"/>
  <c r="AF28" i="1"/>
  <c r="AB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CU28" i="1"/>
  <c r="T28" i="1" s="1"/>
  <c r="CW28" i="1"/>
  <c r="V28" i="1" s="1"/>
  <c r="FR28" i="1"/>
  <c r="GL28" i="1"/>
  <c r="GN28" i="1"/>
  <c r="GP28" i="1"/>
  <c r="GV28" i="1"/>
  <c r="HC28" i="1"/>
  <c r="GX28" i="1" s="1"/>
  <c r="C29" i="1"/>
  <c r="D29" i="1"/>
  <c r="AC29" i="1"/>
  <c r="AD29" i="1"/>
  <c r="AE29" i="1"/>
  <c r="AF29" i="1"/>
  <c r="AG29" i="1"/>
  <c r="AH29" i="1"/>
  <c r="AI29" i="1"/>
  <c r="AJ29" i="1"/>
  <c r="CX29" i="1" s="1"/>
  <c r="W29" i="1" s="1"/>
  <c r="CS29" i="1"/>
  <c r="R29" i="1" s="1"/>
  <c r="CU29" i="1"/>
  <c r="T29" i="1" s="1"/>
  <c r="CW29" i="1"/>
  <c r="V29" i="1" s="1"/>
  <c r="FR29" i="1"/>
  <c r="GL29" i="1"/>
  <c r="GN29" i="1"/>
  <c r="GP29" i="1"/>
  <c r="GV29" i="1"/>
  <c r="HC29" i="1" s="1"/>
  <c r="GX29" i="1" s="1"/>
  <c r="C30" i="1"/>
  <c r="D30" i="1"/>
  <c r="P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CS30" i="1"/>
  <c r="R30" i="1" s="1"/>
  <c r="CU30" i="1"/>
  <c r="T30" i="1" s="1"/>
  <c r="CW30" i="1"/>
  <c r="V30" i="1" s="1"/>
  <c r="FR30" i="1"/>
  <c r="GL30" i="1"/>
  <c r="GN30" i="1"/>
  <c r="GP30" i="1"/>
  <c r="GV30" i="1"/>
  <c r="HC30" i="1" s="1"/>
  <c r="GX30" i="1" s="1"/>
  <c r="C31" i="1"/>
  <c r="D31" i="1"/>
  <c r="V31" i="1"/>
  <c r="AC31" i="1"/>
  <c r="AE31" i="1"/>
  <c r="AF31" i="1"/>
  <c r="AG31" i="1"/>
  <c r="AH31" i="1"/>
  <c r="AI31" i="1"/>
  <c r="AJ31" i="1"/>
  <c r="CX31" i="1" s="1"/>
  <c r="W31" i="1" s="1"/>
  <c r="CU31" i="1"/>
  <c r="T31" i="1" s="1"/>
  <c r="CW31" i="1"/>
  <c r="FR31" i="1"/>
  <c r="GL31" i="1"/>
  <c r="GN31" i="1"/>
  <c r="GP31" i="1"/>
  <c r="GV31" i="1"/>
  <c r="HC31" i="1" s="1"/>
  <c r="GX31" i="1" s="1"/>
  <c r="C32" i="1"/>
  <c r="D32" i="1"/>
  <c r="T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CU32" i="1"/>
  <c r="CW32" i="1"/>
  <c r="V32" i="1" s="1"/>
  <c r="FR32" i="1"/>
  <c r="GL32" i="1"/>
  <c r="GN32" i="1"/>
  <c r="GP32" i="1"/>
  <c r="GV32" i="1"/>
  <c r="HC32" i="1"/>
  <c r="GX32" i="1" s="1"/>
  <c r="C33" i="1"/>
  <c r="D33" i="1"/>
  <c r="R33" i="1"/>
  <c r="AC33" i="1"/>
  <c r="CQ33" i="1" s="1"/>
  <c r="P33" i="1" s="1"/>
  <c r="U81" i="7" s="1"/>
  <c r="K81" i="7" s="1"/>
  <c r="AD33" i="1"/>
  <c r="CR33" i="1" s="1"/>
  <c r="Q33" i="1" s="1"/>
  <c r="AE33" i="1"/>
  <c r="AF33" i="1"/>
  <c r="AG33" i="1"/>
  <c r="AH33" i="1"/>
  <c r="AI33" i="1"/>
  <c r="AJ33" i="1"/>
  <c r="CX33" i="1" s="1"/>
  <c r="W33" i="1" s="1"/>
  <c r="CS33" i="1"/>
  <c r="CU33" i="1"/>
  <c r="T33" i="1" s="1"/>
  <c r="CW33" i="1"/>
  <c r="V33" i="1" s="1"/>
  <c r="FR33" i="1"/>
  <c r="GL33" i="1"/>
  <c r="GN33" i="1"/>
  <c r="GP33" i="1"/>
  <c r="GV33" i="1"/>
  <c r="HC33" i="1" s="1"/>
  <c r="GX33" i="1" s="1"/>
  <c r="C34" i="1"/>
  <c r="D34" i="1"/>
  <c r="P34" i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CS34" i="1"/>
  <c r="R34" i="1" s="1"/>
  <c r="CU34" i="1"/>
  <c r="T34" i="1" s="1"/>
  <c r="CW34" i="1"/>
  <c r="V34" i="1" s="1"/>
  <c r="FR34" i="1"/>
  <c r="GL34" i="1"/>
  <c r="GN34" i="1"/>
  <c r="GP34" i="1"/>
  <c r="GV34" i="1"/>
  <c r="HC34" i="1" s="1"/>
  <c r="GX34" i="1" s="1"/>
  <c r="C35" i="1"/>
  <c r="D35" i="1"/>
  <c r="V35" i="1"/>
  <c r="AC35" i="1"/>
  <c r="CQ35" i="1" s="1"/>
  <c r="P35" i="1" s="1"/>
  <c r="U88" i="7" s="1"/>
  <c r="K88" i="7" s="1"/>
  <c r="AD35" i="1"/>
  <c r="CR35" i="1" s="1"/>
  <c r="Q35" i="1" s="1"/>
  <c r="AE35" i="1"/>
  <c r="AF35" i="1"/>
  <c r="AG35" i="1"/>
  <c r="AH35" i="1"/>
  <c r="AI35" i="1"/>
  <c r="AJ35" i="1"/>
  <c r="CX35" i="1" s="1"/>
  <c r="W35" i="1" s="1"/>
  <c r="CS35" i="1"/>
  <c r="R35" i="1" s="1"/>
  <c r="CU35" i="1"/>
  <c r="T35" i="1" s="1"/>
  <c r="CW35" i="1"/>
  <c r="FR35" i="1"/>
  <c r="GL35" i="1"/>
  <c r="GN35" i="1"/>
  <c r="GP35" i="1"/>
  <c r="GV35" i="1"/>
  <c r="HC35" i="1" s="1"/>
  <c r="GX35" i="1" s="1"/>
  <c r="C36" i="1"/>
  <c r="D36" i="1"/>
  <c r="T36" i="1"/>
  <c r="AC36" i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P36" i="1" s="1"/>
  <c r="CS36" i="1"/>
  <c r="R36" i="1" s="1"/>
  <c r="CU36" i="1"/>
  <c r="CW36" i="1"/>
  <c r="V36" i="1" s="1"/>
  <c r="FR36" i="1"/>
  <c r="GL36" i="1"/>
  <c r="GN36" i="1"/>
  <c r="GP36" i="1"/>
  <c r="GV36" i="1"/>
  <c r="HC36" i="1"/>
  <c r="GX36" i="1" s="1"/>
  <c r="C37" i="1"/>
  <c r="D37" i="1"/>
  <c r="T37" i="1"/>
  <c r="AC37" i="1"/>
  <c r="CQ37" i="1" s="1"/>
  <c r="P37" i="1" s="1"/>
  <c r="U97" i="7" s="1"/>
  <c r="K97" i="7" s="1"/>
  <c r="AE37" i="1"/>
  <c r="AF37" i="1"/>
  <c r="AG37" i="1"/>
  <c r="AH37" i="1"/>
  <c r="AI37" i="1"/>
  <c r="AJ37" i="1"/>
  <c r="CX37" i="1" s="1"/>
  <c r="W37" i="1" s="1"/>
  <c r="CU37" i="1"/>
  <c r="CW37" i="1"/>
  <c r="V37" i="1" s="1"/>
  <c r="FR37" i="1"/>
  <c r="GL37" i="1"/>
  <c r="GN37" i="1"/>
  <c r="GP37" i="1"/>
  <c r="GV37" i="1"/>
  <c r="HC37" i="1" s="1"/>
  <c r="GX37" i="1" s="1"/>
  <c r="C38" i="1"/>
  <c r="D38" i="1"/>
  <c r="P38" i="1"/>
  <c r="R38" i="1"/>
  <c r="AC38" i="1"/>
  <c r="AD38" i="1"/>
  <c r="CR38" i="1" s="1"/>
  <c r="Q38" i="1" s="1"/>
  <c r="AE38" i="1"/>
  <c r="AF38" i="1"/>
  <c r="CT38" i="1" s="1"/>
  <c r="S38" i="1" s="1"/>
  <c r="CZ38" i="1" s="1"/>
  <c r="Y38" i="1" s="1"/>
  <c r="AG38" i="1"/>
  <c r="AH38" i="1"/>
  <c r="CV38" i="1" s="1"/>
  <c r="U38" i="1" s="1"/>
  <c r="AI38" i="1"/>
  <c r="AJ38" i="1"/>
  <c r="CX38" i="1" s="1"/>
  <c r="W38" i="1" s="1"/>
  <c r="CQ38" i="1"/>
  <c r="CS38" i="1"/>
  <c r="CU38" i="1"/>
  <c r="T38" i="1" s="1"/>
  <c r="CW38" i="1"/>
  <c r="V38" i="1" s="1"/>
  <c r="FR38" i="1"/>
  <c r="GL38" i="1"/>
  <c r="GN38" i="1"/>
  <c r="GO38" i="1"/>
  <c r="GV38" i="1"/>
  <c r="HC38" i="1"/>
  <c r="GX38" i="1" s="1"/>
  <c r="C39" i="1"/>
  <c r="D39" i="1"/>
  <c r="AC39" i="1"/>
  <c r="AD39" i="1"/>
  <c r="CR39" i="1" s="1"/>
  <c r="Q39" i="1" s="1"/>
  <c r="AE39" i="1"/>
  <c r="AF39" i="1"/>
  <c r="AG39" i="1"/>
  <c r="AH39" i="1"/>
  <c r="AI39" i="1"/>
  <c r="AJ39" i="1"/>
  <c r="CX39" i="1" s="1"/>
  <c r="W39" i="1" s="1"/>
  <c r="CQ39" i="1"/>
  <c r="P39" i="1" s="1"/>
  <c r="CS39" i="1"/>
  <c r="R39" i="1" s="1"/>
  <c r="CU39" i="1"/>
  <c r="T39" i="1" s="1"/>
  <c r="CW39" i="1"/>
  <c r="V39" i="1" s="1"/>
  <c r="FR39" i="1"/>
  <c r="GL39" i="1"/>
  <c r="GN39" i="1"/>
  <c r="GO39" i="1"/>
  <c r="GV39" i="1"/>
  <c r="HC39" i="1" s="1"/>
  <c r="GX39" i="1" s="1"/>
  <c r="C40" i="1"/>
  <c r="D40" i="1"/>
  <c r="AC40" i="1"/>
  <c r="AD40" i="1"/>
  <c r="CR40" i="1" s="1"/>
  <c r="Q40" i="1" s="1"/>
  <c r="AE40" i="1"/>
  <c r="AF40" i="1"/>
  <c r="AB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CU40" i="1"/>
  <c r="T40" i="1" s="1"/>
  <c r="CW40" i="1"/>
  <c r="V40" i="1" s="1"/>
  <c r="FR40" i="1"/>
  <c r="GL40" i="1"/>
  <c r="GO40" i="1"/>
  <c r="GP40" i="1"/>
  <c r="GV40" i="1"/>
  <c r="HC40" i="1"/>
  <c r="GX40" i="1" s="1"/>
  <c r="C41" i="1"/>
  <c r="D41" i="1"/>
  <c r="AC41" i="1"/>
  <c r="AE41" i="1"/>
  <c r="AF41" i="1"/>
  <c r="AG41" i="1"/>
  <c r="AH41" i="1"/>
  <c r="AI41" i="1"/>
  <c r="AJ41" i="1"/>
  <c r="CX41" i="1" s="1"/>
  <c r="W41" i="1" s="1"/>
  <c r="CQ41" i="1"/>
  <c r="P41" i="1" s="1"/>
  <c r="CU41" i="1"/>
  <c r="T41" i="1" s="1"/>
  <c r="CW41" i="1"/>
  <c r="V41" i="1" s="1"/>
  <c r="FR41" i="1"/>
  <c r="GL41" i="1"/>
  <c r="GO41" i="1"/>
  <c r="GP41" i="1"/>
  <c r="GV41" i="1"/>
  <c r="HC41" i="1" s="1"/>
  <c r="GX41" i="1" s="1"/>
  <c r="AC42" i="1"/>
  <c r="AD42" i="1"/>
  <c r="CR42" i="1" s="1"/>
  <c r="Q42" i="1" s="1"/>
  <c r="AE42" i="1"/>
  <c r="AF42" i="1"/>
  <c r="CT42" i="1" s="1"/>
  <c r="S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CU42" i="1"/>
  <c r="T42" i="1" s="1"/>
  <c r="CW42" i="1"/>
  <c r="V42" i="1" s="1"/>
  <c r="FR42" i="1"/>
  <c r="GL42" i="1"/>
  <c r="GO42" i="1"/>
  <c r="GP42" i="1"/>
  <c r="GV42" i="1"/>
  <c r="HC42" i="1" s="1"/>
  <c r="GX42" i="1" s="1"/>
  <c r="AC43" i="1"/>
  <c r="CQ43" i="1" s="1"/>
  <c r="P43" i="1" s="1"/>
  <c r="U116" i="7" s="1"/>
  <c r="AD43" i="1"/>
  <c r="CR43" i="1" s="1"/>
  <c r="Q43" i="1" s="1"/>
  <c r="AE43" i="1"/>
  <c r="AF43" i="1"/>
  <c r="CT43" i="1" s="1"/>
  <c r="S43" i="1" s="1"/>
  <c r="AG43" i="1"/>
  <c r="AH43" i="1"/>
  <c r="CV43" i="1" s="1"/>
  <c r="U43" i="1" s="1"/>
  <c r="AI43" i="1"/>
  <c r="AJ43" i="1"/>
  <c r="CX43" i="1" s="1"/>
  <c r="W43" i="1" s="1"/>
  <c r="CS43" i="1"/>
  <c r="R43" i="1" s="1"/>
  <c r="CU43" i="1"/>
  <c r="T43" i="1" s="1"/>
  <c r="CW43" i="1"/>
  <c r="V43" i="1" s="1"/>
  <c r="FR43" i="1"/>
  <c r="GL43" i="1"/>
  <c r="GO43" i="1"/>
  <c r="GP43" i="1"/>
  <c r="GV43" i="1"/>
  <c r="HC43" i="1" s="1"/>
  <c r="GX43" i="1" s="1"/>
  <c r="AC44" i="1"/>
  <c r="AD44" i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CU44" i="1"/>
  <c r="T44" i="1" s="1"/>
  <c r="CW44" i="1"/>
  <c r="V44" i="1" s="1"/>
  <c r="FR44" i="1"/>
  <c r="GL44" i="1"/>
  <c r="GO44" i="1"/>
  <c r="GP44" i="1"/>
  <c r="GV44" i="1"/>
  <c r="HC44" i="1" s="1"/>
  <c r="GX44" i="1" s="1"/>
  <c r="AC45" i="1"/>
  <c r="CQ45" i="1" s="1"/>
  <c r="P45" i="1" s="1"/>
  <c r="U119" i="7" s="1"/>
  <c r="AD45" i="1"/>
  <c r="AE45" i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S45" i="1"/>
  <c r="R45" i="1" s="1"/>
  <c r="CU45" i="1"/>
  <c r="T45" i="1" s="1"/>
  <c r="CW45" i="1"/>
  <c r="V45" i="1" s="1"/>
  <c r="FR45" i="1"/>
  <c r="GL45" i="1"/>
  <c r="GO45" i="1"/>
  <c r="GP45" i="1"/>
  <c r="GV45" i="1"/>
  <c r="HC45" i="1"/>
  <c r="GX45" i="1" s="1"/>
  <c r="R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CU46" i="1"/>
  <c r="T46" i="1" s="1"/>
  <c r="CW46" i="1"/>
  <c r="V46" i="1" s="1"/>
  <c r="FR46" i="1"/>
  <c r="GL46" i="1"/>
  <c r="GO46" i="1"/>
  <c r="GP46" i="1"/>
  <c r="GV46" i="1"/>
  <c r="HC46" i="1" s="1"/>
  <c r="GX46" i="1" s="1"/>
  <c r="AC47" i="1"/>
  <c r="CQ47" i="1" s="1"/>
  <c r="P47" i="1" s="1"/>
  <c r="U122" i="7" s="1"/>
  <c r="AD47" i="1"/>
  <c r="CR47" i="1" s="1"/>
  <c r="Q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S47" i="1"/>
  <c r="R47" i="1" s="1"/>
  <c r="CU47" i="1"/>
  <c r="T47" i="1" s="1"/>
  <c r="CW47" i="1"/>
  <c r="V47" i="1" s="1"/>
  <c r="FR47" i="1"/>
  <c r="GL47" i="1"/>
  <c r="GO47" i="1"/>
  <c r="GP47" i="1"/>
  <c r="GV47" i="1"/>
  <c r="HC47" i="1" s="1"/>
  <c r="GX47" i="1" s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CU48" i="1"/>
  <c r="T48" i="1" s="1"/>
  <c r="CW48" i="1"/>
  <c r="V48" i="1" s="1"/>
  <c r="FR48" i="1"/>
  <c r="GL48" i="1"/>
  <c r="GO48" i="1"/>
  <c r="GP48" i="1"/>
  <c r="GV48" i="1"/>
  <c r="HC48" i="1" s="1"/>
  <c r="GX48" i="1" s="1"/>
  <c r="AC49" i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Q49" i="1"/>
  <c r="P49" i="1" s="1"/>
  <c r="CS49" i="1"/>
  <c r="R49" i="1" s="1"/>
  <c r="CU49" i="1"/>
  <c r="T49" i="1" s="1"/>
  <c r="CW49" i="1"/>
  <c r="V49" i="1" s="1"/>
  <c r="FR49" i="1"/>
  <c r="GL49" i="1"/>
  <c r="GO49" i="1"/>
  <c r="GP49" i="1"/>
  <c r="GV49" i="1"/>
  <c r="HC49" i="1" s="1"/>
  <c r="GX49" i="1" s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CU50" i="1"/>
  <c r="T50" i="1" s="1"/>
  <c r="CW50" i="1"/>
  <c r="V50" i="1" s="1"/>
  <c r="FR50" i="1"/>
  <c r="GL50" i="1"/>
  <c r="GO50" i="1"/>
  <c r="GP50" i="1"/>
  <c r="GV50" i="1"/>
  <c r="HC50" i="1" s="1"/>
  <c r="GX50" i="1" s="1"/>
  <c r="AC51" i="1"/>
  <c r="CQ51" i="1" s="1"/>
  <c r="P51" i="1" s="1"/>
  <c r="U128" i="7" s="1"/>
  <c r="AD51" i="1"/>
  <c r="CR51" i="1" s="1"/>
  <c r="Q51" i="1" s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CU51" i="1"/>
  <c r="T51" i="1" s="1"/>
  <c r="CW51" i="1"/>
  <c r="V51" i="1" s="1"/>
  <c r="FR51" i="1"/>
  <c r="GL51" i="1"/>
  <c r="GO51" i="1"/>
  <c r="GP51" i="1"/>
  <c r="GV51" i="1"/>
  <c r="HC51" i="1" s="1"/>
  <c r="GX51" i="1" s="1"/>
  <c r="AC52" i="1"/>
  <c r="AD52" i="1"/>
  <c r="CR52" i="1" s="1"/>
  <c r="Q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CU52" i="1"/>
  <c r="T52" i="1" s="1"/>
  <c r="CW52" i="1"/>
  <c r="V52" i="1" s="1"/>
  <c r="FR52" i="1"/>
  <c r="GL52" i="1"/>
  <c r="GO52" i="1"/>
  <c r="GP52" i="1"/>
  <c r="GV52" i="1"/>
  <c r="HC52" i="1" s="1"/>
  <c r="GX52" i="1" s="1"/>
  <c r="AC53" i="1"/>
  <c r="CQ53" i="1" s="1"/>
  <c r="P53" i="1" s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S53" i="1"/>
  <c r="R53" i="1" s="1"/>
  <c r="CU53" i="1"/>
  <c r="T53" i="1" s="1"/>
  <c r="CW53" i="1"/>
  <c r="V53" i="1" s="1"/>
  <c r="FR53" i="1"/>
  <c r="GL53" i="1"/>
  <c r="GO53" i="1"/>
  <c r="GP53" i="1"/>
  <c r="GV53" i="1"/>
  <c r="HC53" i="1"/>
  <c r="GX53" i="1" s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CU54" i="1"/>
  <c r="T54" i="1" s="1"/>
  <c r="CW54" i="1"/>
  <c r="V54" i="1" s="1"/>
  <c r="FR54" i="1"/>
  <c r="GL54" i="1"/>
  <c r="GO54" i="1"/>
  <c r="GP54" i="1"/>
  <c r="GV54" i="1"/>
  <c r="HC54" i="1"/>
  <c r="GX54" i="1" s="1"/>
  <c r="AC55" i="1"/>
  <c r="CQ55" i="1" s="1"/>
  <c r="P55" i="1" s="1"/>
  <c r="U134" i="7" s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CU55" i="1"/>
  <c r="T55" i="1" s="1"/>
  <c r="CW55" i="1"/>
  <c r="V55" i="1" s="1"/>
  <c r="FR55" i="1"/>
  <c r="GL55" i="1"/>
  <c r="GO55" i="1"/>
  <c r="GP55" i="1"/>
  <c r="GV55" i="1"/>
  <c r="HC55" i="1"/>
  <c r="GX55" i="1" s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CU56" i="1"/>
  <c r="T56" i="1" s="1"/>
  <c r="CW56" i="1"/>
  <c r="V56" i="1" s="1"/>
  <c r="FR56" i="1"/>
  <c r="GL56" i="1"/>
  <c r="GO56" i="1"/>
  <c r="GP56" i="1"/>
  <c r="GV56" i="1"/>
  <c r="HC56" i="1"/>
  <c r="GX56" i="1" s="1"/>
  <c r="AC57" i="1"/>
  <c r="CQ57" i="1" s="1"/>
  <c r="P57" i="1" s="1"/>
  <c r="U136" i="7" s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S57" i="1"/>
  <c r="R57" i="1" s="1"/>
  <c r="CU57" i="1"/>
  <c r="T57" i="1" s="1"/>
  <c r="CW57" i="1"/>
  <c r="V57" i="1" s="1"/>
  <c r="FR57" i="1"/>
  <c r="GL57" i="1"/>
  <c r="GO57" i="1"/>
  <c r="GP57" i="1"/>
  <c r="GV57" i="1"/>
  <c r="HC57" i="1"/>
  <c r="GX57" i="1" s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CU58" i="1"/>
  <c r="T58" i="1" s="1"/>
  <c r="CW58" i="1"/>
  <c r="V58" i="1" s="1"/>
  <c r="FR58" i="1"/>
  <c r="GL58" i="1"/>
  <c r="GO58" i="1"/>
  <c r="GP58" i="1"/>
  <c r="GV58" i="1"/>
  <c r="HC58" i="1"/>
  <c r="GX58" i="1" s="1"/>
  <c r="AC59" i="1"/>
  <c r="AE59" i="1"/>
  <c r="AD59" i="1" s="1"/>
  <c r="CR59" i="1" s="1"/>
  <c r="Q59" i="1" s="1"/>
  <c r="AF59" i="1"/>
  <c r="AG59" i="1"/>
  <c r="CU59" i="1" s="1"/>
  <c r="T59" i="1" s="1"/>
  <c r="AH59" i="1"/>
  <c r="AI59" i="1"/>
  <c r="CW59" i="1" s="1"/>
  <c r="V59" i="1" s="1"/>
  <c r="AJ59" i="1"/>
  <c r="CT59" i="1"/>
  <c r="S59" i="1" s="1"/>
  <c r="CV59" i="1"/>
  <c r="U59" i="1" s="1"/>
  <c r="CX59" i="1"/>
  <c r="W59" i="1" s="1"/>
  <c r="FR59" i="1"/>
  <c r="GL59" i="1"/>
  <c r="GO59" i="1"/>
  <c r="GP59" i="1"/>
  <c r="GV59" i="1"/>
  <c r="GX59" i="1"/>
  <c r="HC59" i="1"/>
  <c r="AC60" i="1"/>
  <c r="CQ60" i="1" s="1"/>
  <c r="P60" i="1" s="1"/>
  <c r="AE60" i="1"/>
  <c r="AD60" i="1" s="1"/>
  <c r="CR60" i="1" s="1"/>
  <c r="Q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O60" i="1"/>
  <c r="GP60" i="1"/>
  <c r="GV60" i="1"/>
  <c r="GX60" i="1"/>
  <c r="HC60" i="1"/>
  <c r="AC61" i="1"/>
  <c r="AE61" i="1"/>
  <c r="AD61" i="1" s="1"/>
  <c r="CR61" i="1" s="1"/>
  <c r="Q61" i="1" s="1"/>
  <c r="AF61" i="1"/>
  <c r="AG61" i="1"/>
  <c r="CU61" i="1" s="1"/>
  <c r="T61" i="1" s="1"/>
  <c r="AH61" i="1"/>
  <c r="AI61" i="1"/>
  <c r="CW61" i="1" s="1"/>
  <c r="V61" i="1" s="1"/>
  <c r="AJ61" i="1"/>
  <c r="CT61" i="1"/>
  <c r="S61" i="1" s="1"/>
  <c r="CV61" i="1"/>
  <c r="U61" i="1" s="1"/>
  <c r="CX61" i="1"/>
  <c r="W61" i="1" s="1"/>
  <c r="FR61" i="1"/>
  <c r="GL61" i="1"/>
  <c r="GO61" i="1"/>
  <c r="GP61" i="1"/>
  <c r="GV61" i="1"/>
  <c r="GX61" i="1"/>
  <c r="HC61" i="1"/>
  <c r="AC62" i="1"/>
  <c r="CQ62" i="1" s="1"/>
  <c r="P62" i="1" s="1"/>
  <c r="AE62" i="1"/>
  <c r="AD62" i="1" s="1"/>
  <c r="CR62" i="1" s="1"/>
  <c r="Q62" i="1" s="1"/>
  <c r="AF62" i="1"/>
  <c r="AG62" i="1"/>
  <c r="CU62" i="1" s="1"/>
  <c r="T62" i="1" s="1"/>
  <c r="AH62" i="1"/>
  <c r="AI62" i="1"/>
  <c r="CW62" i="1" s="1"/>
  <c r="V62" i="1" s="1"/>
  <c r="AJ62" i="1"/>
  <c r="CT62" i="1"/>
  <c r="S62" i="1" s="1"/>
  <c r="CV62" i="1"/>
  <c r="U62" i="1" s="1"/>
  <c r="CX62" i="1"/>
  <c r="W62" i="1" s="1"/>
  <c r="FR62" i="1"/>
  <c r="GL62" i="1"/>
  <c r="GO62" i="1"/>
  <c r="GP62" i="1"/>
  <c r="GV62" i="1"/>
  <c r="GX62" i="1"/>
  <c r="HC62" i="1"/>
  <c r="AC63" i="1"/>
  <c r="AE63" i="1"/>
  <c r="AD63" i="1" s="1"/>
  <c r="CR63" i="1" s="1"/>
  <c r="Q63" i="1" s="1"/>
  <c r="AF63" i="1"/>
  <c r="AG63" i="1"/>
  <c r="CU63" i="1" s="1"/>
  <c r="T63" i="1" s="1"/>
  <c r="AH63" i="1"/>
  <c r="AI63" i="1"/>
  <c r="AJ63" i="1"/>
  <c r="CT63" i="1"/>
  <c r="S63" i="1" s="1"/>
  <c r="CV63" i="1"/>
  <c r="U63" i="1" s="1"/>
  <c r="CW63" i="1"/>
  <c r="V63" i="1" s="1"/>
  <c r="CX63" i="1"/>
  <c r="W63" i="1" s="1"/>
  <c r="FR63" i="1"/>
  <c r="GL63" i="1"/>
  <c r="GO63" i="1"/>
  <c r="GP63" i="1"/>
  <c r="GV63" i="1"/>
  <c r="HC63" i="1"/>
  <c r="GX63" i="1" s="1"/>
  <c r="AC64" i="1"/>
  <c r="CQ64" i="1" s="1"/>
  <c r="P64" i="1" s="1"/>
  <c r="AE64" i="1"/>
  <c r="AD64" i="1" s="1"/>
  <c r="CR64" i="1" s="1"/>
  <c r="Q64" i="1" s="1"/>
  <c r="AF64" i="1"/>
  <c r="AG64" i="1"/>
  <c r="CU64" i="1" s="1"/>
  <c r="T64" i="1" s="1"/>
  <c r="AH64" i="1"/>
  <c r="AI64" i="1"/>
  <c r="AJ64" i="1"/>
  <c r="CS64" i="1"/>
  <c r="R64" i="1" s="1"/>
  <c r="CT64" i="1"/>
  <c r="S64" i="1" s="1"/>
  <c r="CV64" i="1"/>
  <c r="U64" i="1" s="1"/>
  <c r="CW64" i="1"/>
  <c r="V64" i="1" s="1"/>
  <c r="CX64" i="1"/>
  <c r="W64" i="1" s="1"/>
  <c r="FR64" i="1"/>
  <c r="GL64" i="1"/>
  <c r="GO64" i="1"/>
  <c r="GP64" i="1"/>
  <c r="GV64" i="1"/>
  <c r="HC64" i="1"/>
  <c r="GX64" i="1" s="1"/>
  <c r="AC65" i="1"/>
  <c r="AE65" i="1"/>
  <c r="AD65" i="1" s="1"/>
  <c r="CR65" i="1" s="1"/>
  <c r="Q65" i="1" s="1"/>
  <c r="AF65" i="1"/>
  <c r="AG65" i="1"/>
  <c r="CU65" i="1" s="1"/>
  <c r="T65" i="1" s="1"/>
  <c r="AH65" i="1"/>
  <c r="AI65" i="1"/>
  <c r="AJ65" i="1"/>
  <c r="CS65" i="1"/>
  <c r="R65" i="1" s="1"/>
  <c r="CT65" i="1"/>
  <c r="S65" i="1" s="1"/>
  <c r="CV65" i="1"/>
  <c r="U65" i="1" s="1"/>
  <c r="CW65" i="1"/>
  <c r="V65" i="1" s="1"/>
  <c r="CX65" i="1"/>
  <c r="W65" i="1" s="1"/>
  <c r="FR65" i="1"/>
  <c r="GL65" i="1"/>
  <c r="GO65" i="1"/>
  <c r="GP65" i="1"/>
  <c r="GV65" i="1"/>
  <c r="HC65" i="1"/>
  <c r="GX65" i="1" s="1"/>
  <c r="B67" i="1"/>
  <c r="B22" i="1" s="1"/>
  <c r="C67" i="1"/>
  <c r="C22" i="1" s="1"/>
  <c r="D67" i="1"/>
  <c r="D22" i="1" s="1"/>
  <c r="F67" i="1"/>
  <c r="F22" i="1" s="1"/>
  <c r="G67" i="1"/>
  <c r="G22" i="1" s="1"/>
  <c r="BX67" i="1"/>
  <c r="BX22" i="1" s="1"/>
  <c r="CK67" i="1"/>
  <c r="CK22" i="1" s="1"/>
  <c r="CL67" i="1"/>
  <c r="CL22" i="1" s="1"/>
  <c r="FP67" i="1"/>
  <c r="FP22" i="1" s="1"/>
  <c r="GC67" i="1"/>
  <c r="GC22" i="1" s="1"/>
  <c r="GD67" i="1"/>
  <c r="GD22" i="1" s="1"/>
  <c r="B96" i="1"/>
  <c r="B18" i="1" s="1"/>
  <c r="C96" i="1"/>
  <c r="C18" i="1" s="1"/>
  <c r="D96" i="1"/>
  <c r="D18" i="1" s="1"/>
  <c r="F96" i="1"/>
  <c r="F18" i="1" s="1"/>
  <c r="G96" i="1"/>
  <c r="G18" i="1" s="1"/>
  <c r="CV25" i="1" l="1"/>
  <c r="U25" i="1" s="1"/>
  <c r="I51" i="7" s="1"/>
  <c r="CQ65" i="1"/>
  <c r="P65" i="1" s="1"/>
  <c r="U148" i="7" s="1"/>
  <c r="T148" i="7"/>
  <c r="H148" i="7"/>
  <c r="CP64" i="1"/>
  <c r="O64" i="1" s="1"/>
  <c r="CQ63" i="1"/>
  <c r="P63" i="1" s="1"/>
  <c r="U145" i="7" s="1"/>
  <c r="T145" i="7"/>
  <c r="H145" i="7"/>
  <c r="CY58" i="1"/>
  <c r="X58" i="1" s="1"/>
  <c r="CQ61" i="1"/>
  <c r="P61" i="1" s="1"/>
  <c r="U142" i="7" s="1"/>
  <c r="T142" i="7"/>
  <c r="H142" i="7"/>
  <c r="CQ59" i="1"/>
  <c r="P59" i="1" s="1"/>
  <c r="U139" i="7" s="1"/>
  <c r="T139" i="7"/>
  <c r="H139" i="7"/>
  <c r="CP56" i="1"/>
  <c r="O56" i="1" s="1"/>
  <c r="S138" i="7"/>
  <c r="J138" i="7" s="1"/>
  <c r="K136" i="7"/>
  <c r="T136" i="7"/>
  <c r="H136" i="7"/>
  <c r="S135" i="7"/>
  <c r="J135" i="7" s="1"/>
  <c r="K134" i="7"/>
  <c r="T134" i="7"/>
  <c r="H134" i="7"/>
  <c r="CP55" i="1"/>
  <c r="O55" i="1" s="1"/>
  <c r="CP54" i="1"/>
  <c r="O54" i="1" s="1"/>
  <c r="CP53" i="1"/>
  <c r="O53" i="1" s="1"/>
  <c r="U131" i="7"/>
  <c r="T131" i="7"/>
  <c r="H131" i="7"/>
  <c r="S130" i="7"/>
  <c r="J130" i="7" s="1"/>
  <c r="K128" i="7"/>
  <c r="T128" i="7"/>
  <c r="H128" i="7"/>
  <c r="CP51" i="1"/>
  <c r="O51" i="1" s="1"/>
  <c r="CP49" i="1"/>
  <c r="O49" i="1" s="1"/>
  <c r="U125" i="7"/>
  <c r="T125" i="7"/>
  <c r="H125" i="7"/>
  <c r="S124" i="7"/>
  <c r="J124" i="7" s="1"/>
  <c r="K122" i="7"/>
  <c r="T122" i="7"/>
  <c r="H122" i="7"/>
  <c r="CP47" i="1"/>
  <c r="O47" i="1" s="1"/>
  <c r="S121" i="7"/>
  <c r="J121" i="7" s="1"/>
  <c r="K119" i="7"/>
  <c r="T119" i="7"/>
  <c r="H119" i="7"/>
  <c r="CZ44" i="1"/>
  <c r="Y44" i="1" s="1"/>
  <c r="CP42" i="1"/>
  <c r="O42" i="1" s="1"/>
  <c r="S118" i="7"/>
  <c r="J118" i="7" s="1"/>
  <c r="K116" i="7"/>
  <c r="T116" i="7"/>
  <c r="H116" i="7"/>
  <c r="CV41" i="1"/>
  <c r="U41" i="1" s="1"/>
  <c r="I114" i="7" s="1"/>
  <c r="H114" i="7"/>
  <c r="CT41" i="1"/>
  <c r="S41" i="1" s="1"/>
  <c r="U109" i="7" s="1"/>
  <c r="T109" i="7"/>
  <c r="T112" i="7"/>
  <c r="H109" i="7"/>
  <c r="T113" i="7"/>
  <c r="H112" i="7"/>
  <c r="H113" i="7"/>
  <c r="AD41" i="1"/>
  <c r="CR41" i="1" s="1"/>
  <c r="Q41" i="1" s="1"/>
  <c r="U110" i="7" s="1"/>
  <c r="K110" i="7" s="1"/>
  <c r="GM111" i="7"/>
  <c r="I111" i="7" s="1"/>
  <c r="H111" i="7"/>
  <c r="CS41" i="1"/>
  <c r="R41" i="1" s="1"/>
  <c r="K111" i="7" s="1"/>
  <c r="CT39" i="1"/>
  <c r="S39" i="1" s="1"/>
  <c r="U103" i="7" s="1"/>
  <c r="T104" i="7"/>
  <c r="H103" i="7"/>
  <c r="T105" i="7"/>
  <c r="H104" i="7"/>
  <c r="T103" i="7"/>
  <c r="H105" i="7"/>
  <c r="CV39" i="1"/>
  <c r="U39" i="1" s="1"/>
  <c r="I106" i="7" s="1"/>
  <c r="H106" i="7"/>
  <c r="CP38" i="1"/>
  <c r="O38" i="1" s="1"/>
  <c r="CV37" i="1"/>
  <c r="U37" i="1" s="1"/>
  <c r="I100" i="7" s="1"/>
  <c r="H100" i="7"/>
  <c r="H97" i="7"/>
  <c r="T97" i="7"/>
  <c r="CT37" i="1"/>
  <c r="S37" i="1" s="1"/>
  <c r="U94" i="7" s="1"/>
  <c r="T94" i="7"/>
  <c r="T98" i="7"/>
  <c r="H94" i="7"/>
  <c r="H99" i="7"/>
  <c r="T99" i="7"/>
  <c r="H98" i="7"/>
  <c r="AD37" i="1"/>
  <c r="H95" i="7" s="1"/>
  <c r="H96" i="7"/>
  <c r="GM96" i="7"/>
  <c r="I96" i="7" s="1"/>
  <c r="CS37" i="1"/>
  <c r="R37" i="1" s="1"/>
  <c r="CY36" i="1"/>
  <c r="X36" i="1" s="1"/>
  <c r="CP36" i="1"/>
  <c r="O36" i="1" s="1"/>
  <c r="CT35" i="1"/>
  <c r="S35" i="1" s="1"/>
  <c r="U87" i="7" s="1"/>
  <c r="T89" i="7"/>
  <c r="T90" i="7"/>
  <c r="H89" i="7"/>
  <c r="T87" i="7"/>
  <c r="H90" i="7"/>
  <c r="H87" i="7"/>
  <c r="CV35" i="1"/>
  <c r="U35" i="1" s="1"/>
  <c r="I91" i="7" s="1"/>
  <c r="H91" i="7"/>
  <c r="H88" i="7"/>
  <c r="T88" i="7"/>
  <c r="CY34" i="1"/>
  <c r="X34" i="1" s="1"/>
  <c r="CP34" i="1"/>
  <c r="O34" i="1" s="1"/>
  <c r="AH67" i="1"/>
  <c r="U67" i="1" s="1"/>
  <c r="H81" i="7"/>
  <c r="T81" i="7"/>
  <c r="CT33" i="1"/>
  <c r="S33" i="1" s="1"/>
  <c r="CP33" i="1" s="1"/>
  <c r="O33" i="1" s="1"/>
  <c r="H83" i="7"/>
  <c r="H80" i="7"/>
  <c r="T82" i="7"/>
  <c r="T83" i="7"/>
  <c r="H82" i="7"/>
  <c r="T80" i="7"/>
  <c r="CV33" i="1"/>
  <c r="U33" i="1" s="1"/>
  <c r="I84" i="7" s="1"/>
  <c r="H84" i="7"/>
  <c r="CY32" i="1"/>
  <c r="X32" i="1" s="1"/>
  <c r="CP32" i="1"/>
  <c r="O32" i="1" s="1"/>
  <c r="AD31" i="1"/>
  <c r="H72" i="7" s="1"/>
  <c r="H73" i="7"/>
  <c r="GM73" i="7"/>
  <c r="I73" i="7" s="1"/>
  <c r="CV31" i="1"/>
  <c r="U31" i="1" s="1"/>
  <c r="I77" i="7" s="1"/>
  <c r="H77" i="7"/>
  <c r="CQ31" i="1"/>
  <c r="P31" i="1" s="1"/>
  <c r="U74" i="7" s="1"/>
  <c r="K74" i="7" s="1"/>
  <c r="H74" i="7"/>
  <c r="T74" i="7"/>
  <c r="CT31" i="1"/>
  <c r="S31" i="1" s="1"/>
  <c r="U71" i="7" s="1"/>
  <c r="T71" i="7"/>
  <c r="T75" i="7"/>
  <c r="H71" i="7"/>
  <c r="H76" i="7"/>
  <c r="T76" i="7"/>
  <c r="H75" i="7"/>
  <c r="CS31" i="1"/>
  <c r="R31" i="1" s="1"/>
  <c r="CP30" i="1"/>
  <c r="O30" i="1" s="1"/>
  <c r="CY30" i="1"/>
  <c r="X30" i="1" s="1"/>
  <c r="CT29" i="1"/>
  <c r="S29" i="1" s="1"/>
  <c r="U63" i="7" s="1"/>
  <c r="T66" i="7"/>
  <c r="T63" i="7"/>
  <c r="T67" i="7"/>
  <c r="H66" i="7"/>
  <c r="H63" i="7"/>
  <c r="H67" i="7"/>
  <c r="CV29" i="1"/>
  <c r="U29" i="1" s="1"/>
  <c r="I68" i="7" s="1"/>
  <c r="H68" i="7"/>
  <c r="T64" i="7"/>
  <c r="H64" i="7"/>
  <c r="CQ29" i="1"/>
  <c r="P29" i="1" s="1"/>
  <c r="U65" i="7" s="1"/>
  <c r="K65" i="7" s="1"/>
  <c r="H65" i="7"/>
  <c r="T65" i="7"/>
  <c r="BY67" i="1"/>
  <c r="BY22" i="1" s="1"/>
  <c r="CJ67" i="1"/>
  <c r="BA67" i="1" s="1"/>
  <c r="FR67" i="1"/>
  <c r="FR22" i="1" s="1"/>
  <c r="BZ67" i="1"/>
  <c r="BZ22" i="1" s="1"/>
  <c r="AD27" i="1"/>
  <c r="AB27" i="1" s="1"/>
  <c r="H53" i="7" s="1"/>
  <c r="GM56" i="7"/>
  <c r="I56" i="7" s="1"/>
  <c r="H56" i="7"/>
  <c r="CT27" i="1"/>
  <c r="S27" i="1" s="1"/>
  <c r="U54" i="7" s="1"/>
  <c r="T54" i="7"/>
  <c r="T58" i="7"/>
  <c r="H54" i="7"/>
  <c r="T59" i="7"/>
  <c r="H58" i="7"/>
  <c r="H59" i="7"/>
  <c r="CV27" i="1"/>
  <c r="U27" i="1" s="1"/>
  <c r="I60" i="7" s="1"/>
  <c r="H60" i="7"/>
  <c r="CQ27" i="1"/>
  <c r="P27" i="1" s="1"/>
  <c r="U57" i="7" s="1"/>
  <c r="K57" i="7" s="1"/>
  <c r="H57" i="7"/>
  <c r="T57" i="7"/>
  <c r="CS27" i="1"/>
  <c r="R27" i="1" s="1"/>
  <c r="FQ67" i="1"/>
  <c r="FQ22" i="1" s="1"/>
  <c r="CT25" i="1"/>
  <c r="S25" i="1" s="1"/>
  <c r="U48" i="7" s="1"/>
  <c r="T49" i="7"/>
  <c r="T50" i="7"/>
  <c r="H49" i="7"/>
  <c r="T48" i="7"/>
  <c r="H50" i="7"/>
  <c r="H48" i="7"/>
  <c r="CY64" i="1"/>
  <c r="X64" i="1" s="1"/>
  <c r="CZ64" i="1"/>
  <c r="Y64" i="1" s="1"/>
  <c r="AC67" i="1"/>
  <c r="CP60" i="1"/>
  <c r="O60" i="1" s="1"/>
  <c r="GB67" i="1"/>
  <c r="CP63" i="1"/>
  <c r="O63" i="1" s="1"/>
  <c r="AG67" i="1"/>
  <c r="CP59" i="1"/>
  <c r="O59" i="1" s="1"/>
  <c r="CY65" i="1"/>
  <c r="X65" i="1" s="1"/>
  <c r="CZ65" i="1"/>
  <c r="Y65" i="1" s="1"/>
  <c r="CP65" i="1"/>
  <c r="O65" i="1" s="1"/>
  <c r="CP62" i="1"/>
  <c r="O62" i="1" s="1"/>
  <c r="DY67" i="1"/>
  <c r="CP61" i="1"/>
  <c r="O61" i="1" s="1"/>
  <c r="AJ67" i="1"/>
  <c r="EB67" i="1"/>
  <c r="EA67" i="1"/>
  <c r="AI67" i="1"/>
  <c r="ET67" i="1"/>
  <c r="BB67" i="1"/>
  <c r="CZ58" i="1"/>
  <c r="Y58" i="1" s="1"/>
  <c r="AB58" i="1"/>
  <c r="CP57" i="1"/>
  <c r="O57" i="1" s="1"/>
  <c r="CY50" i="1"/>
  <c r="X50" i="1" s="1"/>
  <c r="CZ50" i="1"/>
  <c r="Y50" i="1" s="1"/>
  <c r="CY46" i="1"/>
  <c r="X46" i="1" s="1"/>
  <c r="CZ46" i="1"/>
  <c r="Y46" i="1" s="1"/>
  <c r="EG67" i="1"/>
  <c r="AO67" i="1"/>
  <c r="AB65" i="1"/>
  <c r="AB64" i="1"/>
  <c r="CS63" i="1"/>
  <c r="R63" i="1" s="1"/>
  <c r="CY63" i="1" s="1"/>
  <c r="X63" i="1" s="1"/>
  <c r="AB63" i="1"/>
  <c r="CS62" i="1"/>
  <c r="R62" i="1" s="1"/>
  <c r="CZ62" i="1" s="1"/>
  <c r="Y62" i="1" s="1"/>
  <c r="AB62" i="1"/>
  <c r="CS61" i="1"/>
  <c r="R61" i="1" s="1"/>
  <c r="CY61" i="1" s="1"/>
  <c r="X61" i="1" s="1"/>
  <c r="AB61" i="1"/>
  <c r="CS60" i="1"/>
  <c r="R60" i="1" s="1"/>
  <c r="CY60" i="1" s="1"/>
  <c r="X60" i="1" s="1"/>
  <c r="AB60" i="1"/>
  <c r="CS59" i="1"/>
  <c r="R59" i="1" s="1"/>
  <c r="AB59" i="1"/>
  <c r="CY57" i="1"/>
  <c r="X57" i="1" s="1"/>
  <c r="CZ57" i="1"/>
  <c r="Y57" i="1" s="1"/>
  <c r="CY55" i="1"/>
  <c r="X55" i="1" s="1"/>
  <c r="CZ55" i="1"/>
  <c r="Y55" i="1" s="1"/>
  <c r="CY53" i="1"/>
  <c r="X53" i="1" s="1"/>
  <c r="CZ53" i="1"/>
  <c r="Y53" i="1" s="1"/>
  <c r="CP52" i="1"/>
  <c r="O52" i="1" s="1"/>
  <c r="CY49" i="1"/>
  <c r="X49" i="1" s="1"/>
  <c r="CZ49" i="1"/>
  <c r="Y49" i="1" s="1"/>
  <c r="CP48" i="1"/>
  <c r="O48" i="1" s="1"/>
  <c r="CZ59" i="1"/>
  <c r="Y59" i="1" s="1"/>
  <c r="CY52" i="1"/>
  <c r="X52" i="1" s="1"/>
  <c r="CZ52" i="1"/>
  <c r="Y52" i="1" s="1"/>
  <c r="CY48" i="1"/>
  <c r="X48" i="1" s="1"/>
  <c r="CZ48" i="1"/>
  <c r="Y48" i="1" s="1"/>
  <c r="EU67" i="1"/>
  <c r="BC67" i="1"/>
  <c r="CP58" i="1"/>
  <c r="O58" i="1" s="1"/>
  <c r="CY56" i="1"/>
  <c r="X56" i="1" s="1"/>
  <c r="CZ56" i="1"/>
  <c r="Y56" i="1" s="1"/>
  <c r="CY54" i="1"/>
  <c r="X54" i="1" s="1"/>
  <c r="CZ54" i="1"/>
  <c r="Y54" i="1" s="1"/>
  <c r="CY51" i="1"/>
  <c r="X51" i="1" s="1"/>
  <c r="CZ51" i="1"/>
  <c r="Y51" i="1" s="1"/>
  <c r="CP50" i="1"/>
  <c r="O50" i="1" s="1"/>
  <c r="CY47" i="1"/>
  <c r="X47" i="1" s="1"/>
  <c r="CZ47" i="1"/>
  <c r="Y47" i="1" s="1"/>
  <c r="CP46" i="1"/>
  <c r="O46" i="1" s="1"/>
  <c r="AB57" i="1"/>
  <c r="AB56" i="1"/>
  <c r="AB55" i="1"/>
  <c r="AB54" i="1"/>
  <c r="AB53" i="1"/>
  <c r="AB52" i="1"/>
  <c r="AB51" i="1"/>
  <c r="AB50" i="1"/>
  <c r="AB49" i="1"/>
  <c r="AB48" i="1"/>
  <c r="AB47" i="1"/>
  <c r="CZ45" i="1"/>
  <c r="Y45" i="1" s="1"/>
  <c r="CR44" i="1"/>
  <c r="Q44" i="1" s="1"/>
  <c r="AD67" i="1" s="1"/>
  <c r="AB44" i="1"/>
  <c r="CY44" i="1"/>
  <c r="X44" i="1" s="1"/>
  <c r="CP43" i="1"/>
  <c r="O43" i="1" s="1"/>
  <c r="AB46" i="1"/>
  <c r="CR45" i="1"/>
  <c r="Q45" i="1" s="1"/>
  <c r="CP45" i="1" s="1"/>
  <c r="O45" i="1" s="1"/>
  <c r="AB45" i="1"/>
  <c r="CY43" i="1"/>
  <c r="X43" i="1" s="1"/>
  <c r="CZ43" i="1"/>
  <c r="Y43" i="1" s="1"/>
  <c r="CY45" i="1"/>
  <c r="X45" i="1" s="1"/>
  <c r="CY42" i="1"/>
  <c r="X42" i="1" s="1"/>
  <c r="CZ42" i="1"/>
  <c r="Y42" i="1" s="1"/>
  <c r="CZ39" i="1"/>
  <c r="Y39" i="1" s="1"/>
  <c r="U105" i="7" s="1"/>
  <c r="K105" i="7" s="1"/>
  <c r="AB43" i="1"/>
  <c r="AB42" i="1"/>
  <c r="AB39" i="1"/>
  <c r="H102" i="7" s="1"/>
  <c r="CY38" i="1"/>
  <c r="X38" i="1" s="1"/>
  <c r="GP38" i="1" s="1"/>
  <c r="CD67" i="1" s="1"/>
  <c r="CZ35" i="1"/>
  <c r="Y35" i="1" s="1"/>
  <c r="U90" i="7" s="1"/>
  <c r="K90" i="7" s="1"/>
  <c r="AB35" i="1"/>
  <c r="H86" i="7" s="1"/>
  <c r="CY26" i="1"/>
  <c r="X26" i="1" s="1"/>
  <c r="CZ26" i="1"/>
  <c r="Y26" i="1" s="1"/>
  <c r="CT40" i="1"/>
  <c r="S40" i="1" s="1"/>
  <c r="CP40" i="1" s="1"/>
  <c r="O40" i="1" s="1"/>
  <c r="AB38" i="1"/>
  <c r="CP35" i="1"/>
  <c r="O35" i="1" s="1"/>
  <c r="CZ34" i="1"/>
  <c r="Y34" i="1" s="1"/>
  <c r="AB34" i="1"/>
  <c r="CY33" i="1"/>
  <c r="X33" i="1" s="1"/>
  <c r="CZ30" i="1"/>
  <c r="Y30" i="1" s="1"/>
  <c r="AB30" i="1"/>
  <c r="AB33" i="1"/>
  <c r="H79" i="7" s="1"/>
  <c r="CZ36" i="1"/>
  <c r="Y36" i="1" s="1"/>
  <c r="AB36" i="1"/>
  <c r="CY35" i="1"/>
  <c r="X35" i="1" s="1"/>
  <c r="U89" i="7" s="1"/>
  <c r="K89" i="7" s="1"/>
  <c r="CZ32" i="1"/>
  <c r="Y32" i="1" s="1"/>
  <c r="AB32" i="1"/>
  <c r="AB29" i="1"/>
  <c r="H62" i="7" s="1"/>
  <c r="CR29" i="1"/>
  <c r="Q29" i="1" s="1"/>
  <c r="CP26" i="1"/>
  <c r="O26" i="1" s="1"/>
  <c r="CY25" i="1"/>
  <c r="X25" i="1" s="1"/>
  <c r="U49" i="7" s="1"/>
  <c r="K49" i="7" s="1"/>
  <c r="CT28" i="1"/>
  <c r="S28" i="1" s="1"/>
  <c r="CP28" i="1" s="1"/>
  <c r="O28" i="1" s="1"/>
  <c r="AB26" i="1"/>
  <c r="AB25" i="1"/>
  <c r="H47" i="7" s="1"/>
  <c r="CQ25" i="1"/>
  <c r="P25" i="1" s="1"/>
  <c r="CP24" i="1"/>
  <c r="O24" i="1" s="1"/>
  <c r="CS24" i="1"/>
  <c r="R24" i="1" s="1"/>
  <c r="AB41" i="1" l="1"/>
  <c r="H108" i="7" s="1"/>
  <c r="CY39" i="1"/>
  <c r="X39" i="1" s="1"/>
  <c r="U104" i="7" s="1"/>
  <c r="K104" i="7" s="1"/>
  <c r="CZ29" i="1"/>
  <c r="Y29" i="1" s="1"/>
  <c r="U67" i="7" s="1"/>
  <c r="K67" i="7" s="1"/>
  <c r="R150" i="7"/>
  <c r="HB148" i="7"/>
  <c r="GQ148" i="7"/>
  <c r="I148" i="7"/>
  <c r="GP148" i="7"/>
  <c r="GN148" i="7"/>
  <c r="GS148" i="7"/>
  <c r="GJ148" i="7"/>
  <c r="GM64" i="1"/>
  <c r="S150" i="7"/>
  <c r="J150" i="7" s="1"/>
  <c r="K148" i="7"/>
  <c r="GN64" i="1"/>
  <c r="CZ41" i="1"/>
  <c r="Y41" i="1" s="1"/>
  <c r="U113" i="7" s="1"/>
  <c r="K113" i="7" s="1"/>
  <c r="CY41" i="1"/>
  <c r="X41" i="1" s="1"/>
  <c r="U112" i="7" s="1"/>
  <c r="K112" i="7" s="1"/>
  <c r="R147" i="7"/>
  <c r="HB145" i="7"/>
  <c r="GQ145" i="7"/>
  <c r="I145" i="7"/>
  <c r="GP145" i="7"/>
  <c r="GN145" i="7"/>
  <c r="GS145" i="7"/>
  <c r="GJ145" i="7"/>
  <c r="S147" i="7"/>
  <c r="J147" i="7" s="1"/>
  <c r="K145" i="7"/>
  <c r="CY62" i="1"/>
  <c r="X62" i="1" s="1"/>
  <c r="GN62" i="1" s="1"/>
  <c r="CZ63" i="1"/>
  <c r="Y63" i="1" s="1"/>
  <c r="GM53" i="1"/>
  <c r="R144" i="7"/>
  <c r="HB142" i="7"/>
  <c r="GQ142" i="7"/>
  <c r="I142" i="7"/>
  <c r="GS142" i="7"/>
  <c r="GP142" i="7"/>
  <c r="GN142" i="7"/>
  <c r="GJ142" i="7"/>
  <c r="S144" i="7"/>
  <c r="J144" i="7" s="1"/>
  <c r="K142" i="7"/>
  <c r="CZ61" i="1"/>
  <c r="Y61" i="1" s="1"/>
  <c r="AE67" i="1"/>
  <c r="AE22" i="1" s="1"/>
  <c r="R141" i="7"/>
  <c r="HB139" i="7"/>
  <c r="GQ139" i="7"/>
  <c r="I139" i="7"/>
  <c r="GP139" i="7"/>
  <c r="GN139" i="7"/>
  <c r="GS139" i="7"/>
  <c r="GJ139" i="7"/>
  <c r="S141" i="7"/>
  <c r="J141" i="7" s="1"/>
  <c r="K139" i="7"/>
  <c r="GN51" i="1"/>
  <c r="GN56" i="1"/>
  <c r="GM55" i="1"/>
  <c r="R138" i="7"/>
  <c r="HB136" i="7"/>
  <c r="GQ136" i="7"/>
  <c r="I136" i="7"/>
  <c r="GP136" i="7"/>
  <c r="GJ136" i="7"/>
  <c r="GN136" i="7"/>
  <c r="GS136" i="7"/>
  <c r="GM56" i="1"/>
  <c r="R135" i="7"/>
  <c r="HB134" i="7"/>
  <c r="GQ134" i="7"/>
  <c r="I134" i="7"/>
  <c r="GN134" i="7"/>
  <c r="GJ134" i="7"/>
  <c r="GP134" i="7"/>
  <c r="GS134" i="7"/>
  <c r="GN55" i="1"/>
  <c r="GM54" i="1"/>
  <c r="AB31" i="1"/>
  <c r="H70" i="7" s="1"/>
  <c r="R133" i="7"/>
  <c r="HB131" i="7"/>
  <c r="GQ131" i="7"/>
  <c r="I131" i="7"/>
  <c r="GP131" i="7"/>
  <c r="GN131" i="7"/>
  <c r="GS131" i="7"/>
  <c r="GJ131" i="7"/>
  <c r="S133" i="7"/>
  <c r="J133" i="7" s="1"/>
  <c r="K131" i="7"/>
  <c r="GN53" i="1"/>
  <c r="R130" i="7"/>
  <c r="HB128" i="7"/>
  <c r="GQ128" i="7"/>
  <c r="I128" i="7"/>
  <c r="GP128" i="7"/>
  <c r="GJ128" i="7"/>
  <c r="GN128" i="7"/>
  <c r="GS128" i="7"/>
  <c r="GM51" i="1"/>
  <c r="R127" i="7"/>
  <c r="HB125" i="7"/>
  <c r="GQ125" i="7"/>
  <c r="I125" i="7"/>
  <c r="GP125" i="7"/>
  <c r="GN125" i="7"/>
  <c r="GS125" i="7"/>
  <c r="GJ125" i="7"/>
  <c r="S127" i="7"/>
  <c r="J127" i="7" s="1"/>
  <c r="K125" i="7"/>
  <c r="GM49" i="1"/>
  <c r="R124" i="7"/>
  <c r="HB122" i="7"/>
  <c r="GQ122" i="7"/>
  <c r="I122" i="7"/>
  <c r="GP122" i="7"/>
  <c r="GN122" i="7"/>
  <c r="GS122" i="7"/>
  <c r="GJ122" i="7"/>
  <c r="GM47" i="1"/>
  <c r="R121" i="7"/>
  <c r="HB119" i="7"/>
  <c r="GQ119" i="7"/>
  <c r="I119" i="7"/>
  <c r="GS119" i="7"/>
  <c r="GP119" i="7"/>
  <c r="GN119" i="7"/>
  <c r="GJ119" i="7"/>
  <c r="GM42" i="1"/>
  <c r="R118" i="7"/>
  <c r="HB116" i="7"/>
  <c r="GQ116" i="7"/>
  <c r="I116" i="7"/>
  <c r="GS116" i="7"/>
  <c r="GP116" i="7"/>
  <c r="GN116" i="7"/>
  <c r="GJ116" i="7"/>
  <c r="T110" i="7"/>
  <c r="R115" i="7" s="1"/>
  <c r="AB37" i="1"/>
  <c r="H93" i="7" s="1"/>
  <c r="HB109" i="7"/>
  <c r="GK109" i="7"/>
  <c r="GJ109" i="7"/>
  <c r="I109" i="7"/>
  <c r="H110" i="7"/>
  <c r="GZ113" i="7"/>
  <c r="I113" i="7"/>
  <c r="HB113" i="7"/>
  <c r="S115" i="7"/>
  <c r="J115" i="7" s="1"/>
  <c r="K109" i="7"/>
  <c r="I112" i="7"/>
  <c r="HB112" i="7"/>
  <c r="GY112" i="7"/>
  <c r="CP41" i="1"/>
  <c r="O41" i="1" s="1"/>
  <c r="GN41" i="1" s="1"/>
  <c r="HB110" i="7"/>
  <c r="GM36" i="1"/>
  <c r="GO34" i="1"/>
  <c r="CP39" i="1"/>
  <c r="O39" i="1" s="1"/>
  <c r="GP39" i="1" s="1"/>
  <c r="FV67" i="1" s="1"/>
  <c r="FV22" i="1" s="1"/>
  <c r="CY37" i="1"/>
  <c r="X37" i="1" s="1"/>
  <c r="U98" i="7" s="1"/>
  <c r="K98" i="7" s="1"/>
  <c r="GZ105" i="7"/>
  <c r="I105" i="7"/>
  <c r="HE105" i="7"/>
  <c r="R107" i="7"/>
  <c r="GJ103" i="7"/>
  <c r="I103" i="7"/>
  <c r="HE103" i="7"/>
  <c r="GK103" i="7"/>
  <c r="I104" i="7"/>
  <c r="GY104" i="7"/>
  <c r="HE104" i="7"/>
  <c r="GM38" i="1"/>
  <c r="S107" i="7"/>
  <c r="J107" i="7" s="1"/>
  <c r="K103" i="7"/>
  <c r="GM39" i="1"/>
  <c r="T95" i="7"/>
  <c r="R101" i="7" s="1"/>
  <c r="GM32" i="1"/>
  <c r="GN97" i="7"/>
  <c r="GS97" i="7"/>
  <c r="GJ97" i="7"/>
  <c r="GP97" i="7"/>
  <c r="HC97" i="7"/>
  <c r="GQ97" i="7"/>
  <c r="I97" i="7"/>
  <c r="CR37" i="1"/>
  <c r="Q37" i="1" s="1"/>
  <c r="U95" i="7" s="1"/>
  <c r="K95" i="7" s="1"/>
  <c r="I98" i="7"/>
  <c r="HC98" i="7"/>
  <c r="GY98" i="7"/>
  <c r="CZ37" i="1"/>
  <c r="Y37" i="1" s="1"/>
  <c r="U99" i="7" s="1"/>
  <c r="K99" i="7" s="1"/>
  <c r="K96" i="7"/>
  <c r="GZ99" i="7"/>
  <c r="I99" i="7"/>
  <c r="HC99" i="7"/>
  <c r="HC94" i="7"/>
  <c r="GK94" i="7"/>
  <c r="GJ94" i="7"/>
  <c r="I94" i="7"/>
  <c r="K94" i="7"/>
  <c r="T72" i="7"/>
  <c r="GL72" i="7" s="1"/>
  <c r="DW67" i="1"/>
  <c r="DJ67" i="1" s="1"/>
  <c r="CG67" i="1"/>
  <c r="CG22" i="1" s="1"/>
  <c r="CJ22" i="1"/>
  <c r="GN88" i="7"/>
  <c r="GS88" i="7"/>
  <c r="GJ88" i="7"/>
  <c r="HC88" i="7"/>
  <c r="GQ88" i="7"/>
  <c r="I88" i="7"/>
  <c r="GP88" i="7"/>
  <c r="GZ90" i="7"/>
  <c r="I90" i="7"/>
  <c r="HC90" i="7"/>
  <c r="I89" i="7"/>
  <c r="HC89" i="7"/>
  <c r="GY89" i="7"/>
  <c r="R92" i="7"/>
  <c r="GJ87" i="7"/>
  <c r="I87" i="7"/>
  <c r="HC87" i="7"/>
  <c r="GK87" i="7"/>
  <c r="S92" i="7"/>
  <c r="J92" i="7" s="1"/>
  <c r="K87" i="7"/>
  <c r="AH22" i="1"/>
  <c r="AQ67" i="1"/>
  <c r="AQ22" i="1" s="1"/>
  <c r="CZ25" i="1"/>
  <c r="Y25" i="1" s="1"/>
  <c r="U50" i="7" s="1"/>
  <c r="K50" i="7" s="1"/>
  <c r="CZ31" i="1"/>
  <c r="Y31" i="1" s="1"/>
  <c r="U76" i="7" s="1"/>
  <c r="K76" i="7" s="1"/>
  <c r="CR31" i="1"/>
  <c r="Q31" i="1" s="1"/>
  <c r="U72" i="7" s="1"/>
  <c r="K72" i="7" s="1"/>
  <c r="GM30" i="1"/>
  <c r="U82" i="7"/>
  <c r="K82" i="7" s="1"/>
  <c r="GZ83" i="7"/>
  <c r="I83" i="7"/>
  <c r="HC83" i="7"/>
  <c r="CZ33" i="1"/>
  <c r="Y33" i="1" s="1"/>
  <c r="U83" i="7" s="1"/>
  <c r="K83" i="7" s="1"/>
  <c r="U80" i="7"/>
  <c r="I82" i="7"/>
  <c r="GY82" i="7"/>
  <c r="HC82" i="7"/>
  <c r="GN81" i="7"/>
  <c r="GP81" i="7"/>
  <c r="GS81" i="7"/>
  <c r="GJ81" i="7"/>
  <c r="HC81" i="7"/>
  <c r="GQ81" i="7"/>
  <c r="I81" i="7"/>
  <c r="R85" i="7"/>
  <c r="GJ80" i="7"/>
  <c r="I80" i="7"/>
  <c r="GK80" i="7"/>
  <c r="HC80" i="7"/>
  <c r="CY29" i="1"/>
  <c r="X29" i="1" s="1"/>
  <c r="U66" i="7" s="1"/>
  <c r="K66" i="7" s="1"/>
  <c r="GN74" i="7"/>
  <c r="GS74" i="7"/>
  <c r="GJ74" i="7"/>
  <c r="HC74" i="7"/>
  <c r="GQ74" i="7"/>
  <c r="I74" i="7"/>
  <c r="GP74" i="7"/>
  <c r="CY31" i="1"/>
  <c r="X31" i="1" s="1"/>
  <c r="U75" i="7" s="1"/>
  <c r="K75" i="7" s="1"/>
  <c r="K73" i="7"/>
  <c r="I75" i="7"/>
  <c r="GY75" i="7"/>
  <c r="HC75" i="7"/>
  <c r="GZ76" i="7"/>
  <c r="I76" i="7"/>
  <c r="HC76" i="7"/>
  <c r="HC71" i="7"/>
  <c r="I71" i="7"/>
  <c r="GK71" i="7"/>
  <c r="GJ71" i="7"/>
  <c r="H55" i="7"/>
  <c r="K71" i="7"/>
  <c r="FY67" i="1"/>
  <c r="EP67" i="1" s="1"/>
  <c r="AP67" i="1"/>
  <c r="AP96" i="1" s="1"/>
  <c r="T55" i="7"/>
  <c r="HB55" i="7" s="1"/>
  <c r="CR27" i="1"/>
  <c r="Q27" i="1" s="1"/>
  <c r="DZ67" i="1"/>
  <c r="DM67" i="1" s="1"/>
  <c r="GZ67" i="7"/>
  <c r="I67" i="7"/>
  <c r="HC67" i="7"/>
  <c r="R69" i="7"/>
  <c r="I63" i="7"/>
  <c r="HC63" i="7"/>
  <c r="GJ63" i="7"/>
  <c r="GK63" i="7"/>
  <c r="GN65" i="7"/>
  <c r="GP65" i="7"/>
  <c r="GS65" i="7"/>
  <c r="GJ65" i="7"/>
  <c r="HC65" i="7"/>
  <c r="GQ65" i="7"/>
  <c r="I65" i="7"/>
  <c r="GJ64" i="7"/>
  <c r="GL64" i="7"/>
  <c r="I64" i="7"/>
  <c r="HC64" i="7"/>
  <c r="I66" i="7"/>
  <c r="HC66" i="7"/>
  <c r="GY66" i="7"/>
  <c r="CP29" i="1"/>
  <c r="O29" i="1" s="1"/>
  <c r="U64" i="7"/>
  <c r="K64" i="7" s="1"/>
  <c r="K63" i="7"/>
  <c r="EI67" i="1"/>
  <c r="EI96" i="1" s="1"/>
  <c r="CI67" i="1"/>
  <c r="CI22" i="1" s="1"/>
  <c r="GZ59" i="7"/>
  <c r="I59" i="7"/>
  <c r="HB59" i="7"/>
  <c r="K54" i="7"/>
  <c r="GN57" i="7"/>
  <c r="HB57" i="7"/>
  <c r="I57" i="7"/>
  <c r="GP57" i="7"/>
  <c r="GS57" i="7"/>
  <c r="GJ57" i="7"/>
  <c r="GQ57" i="7"/>
  <c r="DX67" i="1"/>
  <c r="DX22" i="1" s="1"/>
  <c r="CY27" i="1"/>
  <c r="X27" i="1" s="1"/>
  <c r="U58" i="7" s="1"/>
  <c r="K58" i="7" s="1"/>
  <c r="K56" i="7"/>
  <c r="I58" i="7"/>
  <c r="HB58" i="7"/>
  <c r="GY58" i="7"/>
  <c r="HB54" i="7"/>
  <c r="GJ54" i="7"/>
  <c r="I54" i="7"/>
  <c r="GK54" i="7"/>
  <c r="EH67" i="1"/>
  <c r="P76" i="1" s="1"/>
  <c r="V16" i="2" s="1"/>
  <c r="V18" i="2" s="1"/>
  <c r="GA67" i="1"/>
  <c r="GA22" i="1" s="1"/>
  <c r="CZ27" i="1"/>
  <c r="Y27" i="1" s="1"/>
  <c r="U59" i="7" s="1"/>
  <c r="K59" i="7" s="1"/>
  <c r="GZ50" i="7"/>
  <c r="I50" i="7"/>
  <c r="HB50" i="7"/>
  <c r="I49" i="7"/>
  <c r="HB49" i="7"/>
  <c r="GY49" i="7"/>
  <c r="R52" i="7"/>
  <c r="GJ48" i="7"/>
  <c r="I48" i="7"/>
  <c r="HB48" i="7"/>
  <c r="GK48" i="7"/>
  <c r="K48" i="7"/>
  <c r="CY24" i="1"/>
  <c r="X24" i="1" s="1"/>
  <c r="CD22" i="1"/>
  <c r="AU67" i="1"/>
  <c r="GM26" i="1"/>
  <c r="GN26" i="1"/>
  <c r="GO32" i="1"/>
  <c r="GN42" i="1"/>
  <c r="GN45" i="1"/>
  <c r="GM45" i="1"/>
  <c r="GO36" i="1"/>
  <c r="GN47" i="1"/>
  <c r="GN54" i="1"/>
  <c r="GM52" i="1"/>
  <c r="GN52" i="1"/>
  <c r="EG22" i="1"/>
  <c r="EG96" i="1"/>
  <c r="P71" i="1"/>
  <c r="ET22" i="1"/>
  <c r="ET96" i="1"/>
  <c r="P80" i="1"/>
  <c r="DY22" i="1"/>
  <c r="DL67" i="1"/>
  <c r="U22" i="1"/>
  <c r="F89" i="1"/>
  <c r="U96" i="1"/>
  <c r="CZ60" i="1"/>
  <c r="Y60" i="1" s="1"/>
  <c r="GM60" i="1" s="1"/>
  <c r="GO35" i="1"/>
  <c r="GM35" i="1"/>
  <c r="CP25" i="1"/>
  <c r="O25" i="1" s="1"/>
  <c r="DU67" i="1"/>
  <c r="GO30" i="1"/>
  <c r="GN58" i="1"/>
  <c r="GM58" i="1"/>
  <c r="GM48" i="1"/>
  <c r="GN48" i="1"/>
  <c r="GN49" i="1"/>
  <c r="GM57" i="1"/>
  <c r="GN57" i="1"/>
  <c r="AI22" i="1"/>
  <c r="V67" i="1"/>
  <c r="AJ22" i="1"/>
  <c r="W67" i="1"/>
  <c r="CY59" i="1"/>
  <c r="X59" i="1" s="1"/>
  <c r="GM65" i="1"/>
  <c r="GN65" i="1"/>
  <c r="AC22" i="1"/>
  <c r="CE67" i="1"/>
  <c r="P67" i="1"/>
  <c r="CF67" i="1"/>
  <c r="CH67" i="1"/>
  <c r="CY28" i="1"/>
  <c r="X28" i="1" s="1"/>
  <c r="CZ28" i="1"/>
  <c r="Y28" i="1" s="1"/>
  <c r="AF67" i="1"/>
  <c r="CZ24" i="1"/>
  <c r="Y24" i="1" s="1"/>
  <c r="GM34" i="1"/>
  <c r="CZ40" i="1"/>
  <c r="Y40" i="1" s="1"/>
  <c r="CY40" i="1"/>
  <c r="X40" i="1" s="1"/>
  <c r="GM43" i="1"/>
  <c r="GN43" i="1"/>
  <c r="AD22" i="1"/>
  <c r="Q67" i="1"/>
  <c r="GM50" i="1"/>
  <c r="GN50" i="1"/>
  <c r="EU22" i="1"/>
  <c r="EU96" i="1"/>
  <c r="P83" i="1"/>
  <c r="CP44" i="1"/>
  <c r="O44" i="1" s="1"/>
  <c r="BB22" i="1"/>
  <c r="BB96" i="1"/>
  <c r="F80" i="1"/>
  <c r="EA22" i="1"/>
  <c r="DN67" i="1"/>
  <c r="GM61" i="1"/>
  <c r="GN61" i="1"/>
  <c r="BA22" i="1"/>
  <c r="F87" i="1"/>
  <c r="BA96" i="1"/>
  <c r="GM62" i="1"/>
  <c r="GM59" i="1"/>
  <c r="GN59" i="1"/>
  <c r="GM63" i="1"/>
  <c r="GN63" i="1"/>
  <c r="GM46" i="1"/>
  <c r="GN46" i="1"/>
  <c r="BC22" i="1"/>
  <c r="F83" i="1"/>
  <c r="BC96" i="1"/>
  <c r="AO22" i="1"/>
  <c r="F71" i="1"/>
  <c r="AO96" i="1"/>
  <c r="EB22" i="1"/>
  <c r="DO67" i="1"/>
  <c r="AG22" i="1"/>
  <c r="T67" i="1"/>
  <c r="GB22" i="1"/>
  <c r="ES67" i="1"/>
  <c r="HA150" i="7" l="1"/>
  <c r="H150" i="7"/>
  <c r="HA147" i="7"/>
  <c r="H147" i="7"/>
  <c r="R67" i="1"/>
  <c r="R96" i="1" s="1"/>
  <c r="HA144" i="7"/>
  <c r="H144" i="7"/>
  <c r="HA141" i="7"/>
  <c r="H141" i="7"/>
  <c r="H138" i="7"/>
  <c r="HA138" i="7"/>
  <c r="GM41" i="1"/>
  <c r="H135" i="7"/>
  <c r="HA135" i="7"/>
  <c r="GJ110" i="7"/>
  <c r="HA133" i="7"/>
  <c r="H133" i="7"/>
  <c r="HC72" i="7"/>
  <c r="I72" i="7"/>
  <c r="GL95" i="7"/>
  <c r="GJ72" i="7"/>
  <c r="HA130" i="7"/>
  <c r="H130" i="7"/>
  <c r="HA127" i="7"/>
  <c r="H127" i="7"/>
  <c r="I110" i="7"/>
  <c r="HA124" i="7"/>
  <c r="H124" i="7"/>
  <c r="HC95" i="7"/>
  <c r="I95" i="7"/>
  <c r="H121" i="7"/>
  <c r="HA121" i="7"/>
  <c r="R78" i="7"/>
  <c r="H78" i="7" s="1"/>
  <c r="GL110" i="7"/>
  <c r="H118" i="7"/>
  <c r="HA118" i="7"/>
  <c r="HA115" i="7"/>
  <c r="H115" i="7"/>
  <c r="GM40" i="1"/>
  <c r="HA107" i="7"/>
  <c r="H107" i="7"/>
  <c r="GJ95" i="7"/>
  <c r="EM67" i="1"/>
  <c r="EM96" i="1" s="1"/>
  <c r="GO33" i="1"/>
  <c r="CP31" i="1"/>
  <c r="O31" i="1" s="1"/>
  <c r="GM31" i="1" s="1"/>
  <c r="CP37" i="1"/>
  <c r="O37" i="1" s="1"/>
  <c r="GM37" i="1" s="1"/>
  <c r="DV67" i="1"/>
  <c r="DI67" i="1" s="1"/>
  <c r="DI22" i="1" s="1"/>
  <c r="S101" i="7"/>
  <c r="J101" i="7" s="1"/>
  <c r="H101" i="7"/>
  <c r="HA101" i="7"/>
  <c r="AQ96" i="1"/>
  <c r="AQ18" i="1" s="1"/>
  <c r="AX67" i="1"/>
  <c r="AX96" i="1" s="1"/>
  <c r="AX18" i="1" s="1"/>
  <c r="DW22" i="1"/>
  <c r="FY22" i="1"/>
  <c r="HA92" i="7"/>
  <c r="H92" i="7"/>
  <c r="U55" i="7"/>
  <c r="K55" i="7" s="1"/>
  <c r="EI22" i="1"/>
  <c r="F77" i="1"/>
  <c r="I55" i="7"/>
  <c r="AP22" i="1"/>
  <c r="K80" i="7"/>
  <c r="S85" i="7"/>
  <c r="J85" i="7" s="1"/>
  <c r="H85" i="7"/>
  <c r="HA85" i="7"/>
  <c r="GO29" i="1"/>
  <c r="EC67" i="1"/>
  <c r="DP67" i="1" s="1"/>
  <c r="GM29" i="1"/>
  <c r="CP27" i="1"/>
  <c r="O27" i="1" s="1"/>
  <c r="GM33" i="1"/>
  <c r="ED67" i="1"/>
  <c r="ED22" i="1" s="1"/>
  <c r="P77" i="1"/>
  <c r="GJ55" i="7"/>
  <c r="R61" i="7"/>
  <c r="H61" i="7" s="1"/>
  <c r="GL55" i="7"/>
  <c r="S78" i="7"/>
  <c r="J78" i="7" s="1"/>
  <c r="EH96" i="1"/>
  <c r="EH18" i="1" s="1"/>
  <c r="DZ22" i="1"/>
  <c r="F76" i="1"/>
  <c r="G16" i="2" s="1"/>
  <c r="G18" i="2" s="1"/>
  <c r="AL67" i="1"/>
  <c r="AL22" i="1" s="1"/>
  <c r="HA69" i="7"/>
  <c r="H69" i="7"/>
  <c r="S69" i="7"/>
  <c r="J69" i="7" s="1"/>
  <c r="AZ67" i="1"/>
  <c r="AZ96" i="1" s="1"/>
  <c r="ER67" i="1"/>
  <c r="ER96" i="1" s="1"/>
  <c r="DK67" i="1"/>
  <c r="DK96" i="1" s="1"/>
  <c r="S52" i="7"/>
  <c r="J52" i="7" s="1"/>
  <c r="EH22" i="1"/>
  <c r="AK67" i="1"/>
  <c r="AK22" i="1" s="1"/>
  <c r="HA52" i="7"/>
  <c r="H52" i="7"/>
  <c r="T22" i="1"/>
  <c r="F88" i="1"/>
  <c r="T96" i="1"/>
  <c r="ES22" i="1"/>
  <c r="P87" i="1"/>
  <c r="ES96" i="1"/>
  <c r="BC18" i="1"/>
  <c r="F112" i="1"/>
  <c r="GN44" i="1"/>
  <c r="GM44" i="1"/>
  <c r="CF22" i="1"/>
  <c r="AW67" i="1"/>
  <c r="U18" i="1"/>
  <c r="F118" i="1"/>
  <c r="ET18" i="1"/>
  <c r="P109" i="1"/>
  <c r="DJ22" i="1"/>
  <c r="DJ96" i="1"/>
  <c r="P81" i="1"/>
  <c r="AB67" i="1"/>
  <c r="GN40" i="1"/>
  <c r="AU22" i="1"/>
  <c r="F86" i="1"/>
  <c r="H16" i="2" s="1"/>
  <c r="H18" i="2" s="1"/>
  <c r="AU96" i="1"/>
  <c r="R22" i="1"/>
  <c r="F81" i="1"/>
  <c r="P22" i="1"/>
  <c r="P96" i="1"/>
  <c r="F70" i="1"/>
  <c r="V22" i="1"/>
  <c r="V96" i="1"/>
  <c r="F90" i="1"/>
  <c r="EP22" i="1"/>
  <c r="EP96" i="1"/>
  <c r="P74" i="1"/>
  <c r="DU22" i="1"/>
  <c r="FW67" i="1"/>
  <c r="FX67" i="1"/>
  <c r="DH67" i="1"/>
  <c r="FZ67" i="1"/>
  <c r="GN60" i="1"/>
  <c r="GN24" i="1"/>
  <c r="GO28" i="1"/>
  <c r="CC67" i="1" s="1"/>
  <c r="Q22" i="1"/>
  <c r="F79" i="1"/>
  <c r="Q96" i="1"/>
  <c r="AO18" i="1"/>
  <c r="F100" i="1"/>
  <c r="BA18" i="1"/>
  <c r="F116" i="1"/>
  <c r="BB18" i="1"/>
  <c r="F109" i="1"/>
  <c r="EU18" i="1"/>
  <c r="P112" i="1"/>
  <c r="AF22" i="1"/>
  <c r="S67" i="1"/>
  <c r="CE22" i="1"/>
  <c r="AV67" i="1"/>
  <c r="EI18" i="1"/>
  <c r="P106" i="1"/>
  <c r="GN25" i="1"/>
  <c r="GM25" i="1"/>
  <c r="EG18" i="1"/>
  <c r="P100" i="1"/>
  <c r="GM24" i="1"/>
  <c r="GM28" i="1"/>
  <c r="DO22" i="1"/>
  <c r="DO96" i="1"/>
  <c r="P91" i="1"/>
  <c r="DM22" i="1"/>
  <c r="P89" i="1"/>
  <c r="DM96" i="1"/>
  <c r="DN22" i="1"/>
  <c r="DN96" i="1"/>
  <c r="P90" i="1"/>
  <c r="CH22" i="1"/>
  <c r="AY67" i="1"/>
  <c r="W22" i="1"/>
  <c r="F91" i="1"/>
  <c r="W96" i="1"/>
  <c r="DL22" i="1"/>
  <c r="DL96" i="1"/>
  <c r="P88" i="1"/>
  <c r="AP18" i="1"/>
  <c r="F105" i="1"/>
  <c r="EM22" i="1" l="1"/>
  <c r="GO31" i="1"/>
  <c r="HA78" i="7"/>
  <c r="DT67" i="1"/>
  <c r="DT22" i="1" s="1"/>
  <c r="ER22" i="1"/>
  <c r="F103" i="1"/>
  <c r="CB67" i="1"/>
  <c r="CB22" i="1" s="1"/>
  <c r="F74" i="1"/>
  <c r="DI96" i="1"/>
  <c r="DI18" i="1" s="1"/>
  <c r="P86" i="1"/>
  <c r="P79" i="1"/>
  <c r="F106" i="1"/>
  <c r="GO37" i="1"/>
  <c r="DV22" i="1"/>
  <c r="DK22" i="1"/>
  <c r="AX22" i="1"/>
  <c r="AZ22" i="1"/>
  <c r="GN27" i="1"/>
  <c r="GM27" i="1"/>
  <c r="FS67" i="1" s="1"/>
  <c r="EJ67" i="1" s="1"/>
  <c r="HA61" i="7"/>
  <c r="F78" i="1"/>
  <c r="S61" i="7"/>
  <c r="J61" i="7" s="1"/>
  <c r="EC22" i="1"/>
  <c r="P78" i="1"/>
  <c r="DQ67" i="1"/>
  <c r="DQ96" i="1" s="1"/>
  <c r="P122" i="1" s="1"/>
  <c r="W16" i="2"/>
  <c r="W18" i="2" s="1"/>
  <c r="P105" i="1"/>
  <c r="Y67" i="1"/>
  <c r="F93" i="1" s="1"/>
  <c r="P82" i="1"/>
  <c r="Y16" i="2" s="1"/>
  <c r="Y18" i="2" s="1"/>
  <c r="FT67" i="1"/>
  <c r="EK67" i="1" s="1"/>
  <c r="X67" i="1"/>
  <c r="F92" i="1" s="1"/>
  <c r="FW22" i="1"/>
  <c r="EN67" i="1"/>
  <c r="W18" i="1"/>
  <c r="F120" i="1"/>
  <c r="DM18" i="1"/>
  <c r="P118" i="1"/>
  <c r="ER18" i="1"/>
  <c r="P107" i="1"/>
  <c r="AV22" i="1"/>
  <c r="AV96" i="1"/>
  <c r="F72" i="1"/>
  <c r="FZ22" i="1"/>
  <c r="EQ67" i="1"/>
  <c r="P18" i="1"/>
  <c r="F99" i="1"/>
  <c r="ES18" i="1"/>
  <c r="P116" i="1"/>
  <c r="AY22" i="1"/>
  <c r="F75" i="1"/>
  <c r="AY96" i="1"/>
  <c r="P108" i="1"/>
  <c r="DK18" i="1"/>
  <c r="P111" i="1"/>
  <c r="DH22" i="1"/>
  <c r="DH96" i="1"/>
  <c r="P70" i="1"/>
  <c r="V18" i="1"/>
  <c r="F119" i="1"/>
  <c r="DJ18" i="1"/>
  <c r="P110" i="1"/>
  <c r="AW22" i="1"/>
  <c r="F73" i="1"/>
  <c r="AW96" i="1"/>
  <c r="DO18" i="1"/>
  <c r="P120" i="1"/>
  <c r="DL18" i="1"/>
  <c r="P117" i="1"/>
  <c r="DN18" i="1"/>
  <c r="P119" i="1"/>
  <c r="CA67" i="1"/>
  <c r="AZ18" i="1"/>
  <c r="F107" i="1"/>
  <c r="S22" i="1"/>
  <c r="S96" i="1"/>
  <c r="F82" i="1"/>
  <c r="J16" i="2" s="1"/>
  <c r="J18" i="2" s="1"/>
  <c r="CC22" i="1"/>
  <c r="AT67" i="1"/>
  <c r="FX22" i="1"/>
  <c r="EO67" i="1"/>
  <c r="EP18" i="1"/>
  <c r="P103" i="1"/>
  <c r="R18" i="1"/>
  <c r="F110" i="1"/>
  <c r="EM18" i="1"/>
  <c r="P115" i="1"/>
  <c r="Q18" i="1"/>
  <c r="F108" i="1"/>
  <c r="AU18" i="1"/>
  <c r="F115" i="1"/>
  <c r="AB22" i="1"/>
  <c r="O67" i="1"/>
  <c r="DP22" i="1"/>
  <c r="DP96" i="1"/>
  <c r="P92" i="1"/>
  <c r="T18" i="1"/>
  <c r="F117" i="1"/>
  <c r="FU67" i="1" l="1"/>
  <c r="FU22" i="1" s="1"/>
  <c r="DG67" i="1"/>
  <c r="AS67" i="1"/>
  <c r="AS22" i="1" s="1"/>
  <c r="Y22" i="1"/>
  <c r="X22" i="1"/>
  <c r="DQ18" i="1"/>
  <c r="DQ22" i="1"/>
  <c r="Y96" i="1"/>
  <c r="Y18" i="1" s="1"/>
  <c r="P93" i="1"/>
  <c r="FS22" i="1"/>
  <c r="FT22" i="1"/>
  <c r="X96" i="1"/>
  <c r="F121" i="1" s="1"/>
  <c r="O22" i="1"/>
  <c r="F69" i="1"/>
  <c r="O96" i="1"/>
  <c r="S18" i="1"/>
  <c r="F111" i="1"/>
  <c r="CA22" i="1"/>
  <c r="AR67" i="1"/>
  <c r="DH18" i="1"/>
  <c r="P99" i="1"/>
  <c r="EK22" i="1"/>
  <c r="EK96" i="1"/>
  <c r="P84" i="1"/>
  <c r="T16" i="2" s="1"/>
  <c r="AY18" i="1"/>
  <c r="F104" i="1"/>
  <c r="EJ22" i="1"/>
  <c r="EJ96" i="1"/>
  <c r="P94" i="1"/>
  <c r="EN22" i="1"/>
  <c r="EN96" i="1"/>
  <c r="P72" i="1"/>
  <c r="AT22" i="1"/>
  <c r="F85" i="1"/>
  <c r="F16" i="2" s="1"/>
  <c r="F18" i="2" s="1"/>
  <c r="AT96" i="1"/>
  <c r="EO22" i="1"/>
  <c r="EO96" i="1"/>
  <c r="P73" i="1"/>
  <c r="AW18" i="1"/>
  <c r="F102" i="1"/>
  <c r="DP18" i="1"/>
  <c r="P121" i="1"/>
  <c r="DG22" i="1"/>
  <c r="DG96" i="1"/>
  <c r="P69" i="1"/>
  <c r="AV18" i="1"/>
  <c r="F101" i="1"/>
  <c r="AS96" i="1"/>
  <c r="F84" i="1"/>
  <c r="E16" i="2" s="1"/>
  <c r="EQ22" i="1"/>
  <c r="EQ96" i="1"/>
  <c r="P75" i="1"/>
  <c r="EL67" i="1" l="1"/>
  <c r="EL96" i="1" s="1"/>
  <c r="F122" i="1"/>
  <c r="X18" i="1"/>
  <c r="EQ18" i="1"/>
  <c r="P104" i="1"/>
  <c r="I16" i="2"/>
  <c r="I18" i="2" s="1"/>
  <c r="E18" i="2"/>
  <c r="DG18" i="1"/>
  <c r="P98" i="1"/>
  <c r="AT18" i="1"/>
  <c r="F114" i="1"/>
  <c r="EN18" i="1"/>
  <c r="P101" i="1"/>
  <c r="EK18" i="1"/>
  <c r="P113" i="1"/>
  <c r="AR22" i="1"/>
  <c r="AR96" i="1"/>
  <c r="F94" i="1"/>
  <c r="AS18" i="1"/>
  <c r="F113" i="1"/>
  <c r="EO18" i="1"/>
  <c r="P102" i="1"/>
  <c r="O18" i="1"/>
  <c r="F98" i="1"/>
  <c r="EJ18" i="1"/>
  <c r="P123" i="1"/>
  <c r="T18" i="2"/>
  <c r="P114" i="1" l="1"/>
  <c r="EL18" i="1"/>
  <c r="P85" i="1"/>
  <c r="U16" i="2" s="1"/>
  <c r="EL22" i="1"/>
  <c r="AR18" i="1"/>
  <c r="F123" i="1"/>
  <c r="U18" i="2" l="1"/>
  <c r="X16" i="2"/>
  <c r="X18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2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2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C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C6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F6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6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F6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A33" authorId="0">
      <text>
        <r>
          <rPr>
            <sz val="9"/>
            <color indexed="81"/>
            <rFont val="Tahoma"/>
            <family val="2"/>
            <charset val="204"/>
          </rPr>
          <t>Не заполнено описание локальной сметы -&gt; Наименования -&gt; Шифр (№)</t>
        </r>
      </text>
    </comment>
    <comment ref="C3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Описание -&gt; Список чертежей</t>
        </r>
      </text>
    </comment>
    <comment ref="C16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I16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C17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I172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  <comment ref="C17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Должность</t>
        </r>
      </text>
    </comment>
    <comment ref="I17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Исполнил -&gt; Ф.И.О.</t>
        </r>
      </text>
    </comment>
    <comment ref="C18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Должность</t>
        </r>
      </text>
    </comment>
    <comment ref="I18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Проверил -&gt; Ф.И.О.</t>
        </r>
      </text>
    </comment>
  </commentList>
</comments>
</file>

<file path=xl/sharedStrings.xml><?xml version="1.0" encoding="utf-8"?>
<sst xmlns="http://schemas.openxmlformats.org/spreadsheetml/2006/main" count="3848" uniqueCount="522">
  <si>
    <t>Smeta.RU  (495) 974-1589</t>
  </si>
  <si>
    <t>_PS_</t>
  </si>
  <si>
    <t>Smeta.RU</t>
  </si>
  <si>
    <t/>
  </si>
  <si>
    <t>Новый объект</t>
  </si>
  <si>
    <t>Установка ПКУ В РУ-10 кВ ТП514</t>
  </si>
  <si>
    <t>Сметные нормы списания</t>
  </si>
  <si>
    <t>Коды ценников</t>
  </si>
  <si>
    <t>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</si>
  <si>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</si>
  <si>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</si>
  <si>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</si>
  <si>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</si>
  <si>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</si>
  <si>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</si>
  <si>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</si>
  <si>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</si>
  <si>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</si>
  <si>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Ремонтно-строительные работы</t>
  </si>
  <si>
    <t>Прочие ремонтно-строительные работы</t>
  </si>
  <si>
    <t>ФЕРр-69</t>
  </si>
  <si>
    <t>2</t>
  </si>
  <si>
    <t>34-02-017-01</t>
  </si>
  <si>
    <t>Устрановка комплекта учета электроэнергии</t>
  </si>
  <si>
    <t>шт..</t>
  </si>
  <si>
    <t>ФЕР-2001, 34-02-017-01, приказ Минстроя России №1039/пр от 30.12.2016г.</t>
  </si>
  <si>
    <t>Общестроительные и специальные строительные работы</t>
  </si>
  <si>
    <t>Сооружения связи , радиовещания и телевидения</t>
  </si>
  <si>
    <t>ФЕР-34</t>
  </si>
  <si>
    <t>3</t>
  </si>
  <si>
    <t>м08-03-526-01</t>
  </si>
  <si>
    <t>Автомат одно-, двух-, трехполюсный, устанавливаемый на конструкции на стене или колонне, на ток до 25 А</t>
  </si>
  <si>
    <t>ШТ</t>
  </si>
  <si>
    <t>ФЕРм-2001, м08-03-526-01,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</si>
  <si>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</si>
  <si>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</si>
  <si>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</si>
  <si>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4</t>
  </si>
  <si>
    <t>м08-03-591-08</t>
  </si>
  <si>
    <t>Розетка штепсельная неутопленного типа при открытой проводке</t>
  </si>
  <si>
    <t>ФЕРм-2001, м08-03-591-08, приказ Минстроя России №1039/пр от 30.12.2016г.</t>
  </si>
  <si>
    <t>5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</si>
  <si>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</si>
  <si>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</si>
  <si>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</si>
  <si>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</si>
  <si>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Автоматика  ( кроме микропроцессорной техники )</t>
  </si>
  <si>
    <t>ФЕРм-11</t>
  </si>
  <si>
    <t>6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</si>
  <si>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</si>
  <si>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</si>
  <si>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</si>
  <si>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7</t>
  </si>
  <si>
    <t>м10-01-055-03</t>
  </si>
  <si>
    <t>Прокладка кабеля, масса 1 м до 1 кг, по стене бетонной</t>
  </si>
  <si>
    <t>ФЕРм-2001, м10-01-055-03,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</si>
  <si>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</si>
  <si>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</si>
  <si>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8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</si>
  <si>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</si>
  <si>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</si>
  <si>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</si>
  <si>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</si>
  <si>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</si>
  <si>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</si>
  <si>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</si>
  <si>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33-04-031-03</t>
  </si>
  <si>
    <t>КОМПЛ</t>
  </si>
  <si>
    <t>ФЕР-2001, 33-04-031-03, приказ Минстроя России №1039/пр от 30.12.2016г.</t>
  </si>
  <si>
    <t>Линии элекропередач</t>
  </si>
  <si>
    <t>ФЕР-33</t>
  </si>
  <si>
    <t>10</t>
  </si>
  <si>
    <t>Прайс-лист</t>
  </si>
  <si>
    <t>Пункт коммерческого учета ПКУ</t>
  </si>
  <si>
    <t>Материалы ( строительные )</t>
  </si>
  <si>
    <t>Материалы, изделия и конструкции</t>
  </si>
  <si>
    <t>ресурс_Материалы (03)</t>
  </si>
  <si>
    <t>[184 650 /  12,5] +  2% Заг.скл</t>
  </si>
  <si>
    <t>11</t>
  </si>
  <si>
    <t>Выключатель ВА5543</t>
  </si>
  <si>
    <t>[106 449,98 /  12,5] +  2% Заг.скл</t>
  </si>
  <si>
    <t>12</t>
  </si>
  <si>
    <t>Розетка на DIN-рейку</t>
  </si>
  <si>
    <t>[334 /  12,5] +  2% Заг.скл</t>
  </si>
  <si>
    <t>13</t>
  </si>
  <si>
    <t>Din-рейка 60 см</t>
  </si>
  <si>
    <t>[4,29 /  12,5] +  2% Заг.скл</t>
  </si>
  <si>
    <t>14</t>
  </si>
  <si>
    <t>Преобразователь TVG715 V</t>
  </si>
  <si>
    <t>[1 000 /  12,5] +  2% Заг.скл</t>
  </si>
  <si>
    <t>15</t>
  </si>
  <si>
    <t>Преобразователь напряжения PRI-2002</t>
  </si>
  <si>
    <t>[200 /  12,5] +  2% Заг.скл</t>
  </si>
  <si>
    <t>16</t>
  </si>
  <si>
    <t>Модем GSM IRZ ТG21.В</t>
  </si>
  <si>
    <t>17</t>
  </si>
  <si>
    <t>Модем USB 4G Huawei E3372H</t>
  </si>
  <si>
    <t>[405,07 /  12,5] +  2% Заг.скл</t>
  </si>
  <si>
    <t>18</t>
  </si>
  <si>
    <t>Блок питания DR15-12</t>
  </si>
  <si>
    <t>[132,8 /  12,5] +  2% Заг.скл</t>
  </si>
  <si>
    <t>19</t>
  </si>
  <si>
    <t>Коммутатор Mikrotik mAP RBmAP2nD</t>
  </si>
  <si>
    <t>[341,48 /  12,5] +  2% Заг.скл</t>
  </si>
  <si>
    <t>20</t>
  </si>
  <si>
    <t>3G Antenna teleofis RC30 SMA</t>
  </si>
  <si>
    <t>[44,73 /  12,5] +  2% Заг.скл</t>
  </si>
  <si>
    <t>21</t>
  </si>
  <si>
    <t>Переходник РЭМО-FME CRC9</t>
  </si>
  <si>
    <t>[64,41 /  12,5] +  2% Заг.скл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</si>
  <si>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</si>
  <si>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</si>
  <si>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</si>
  <si>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</si>
  <si>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</si>
  <si>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</si>
  <si>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</si>
  <si>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</si>
  <si>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</si>
  <si>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</si>
  <si>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</si>
  <si>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</si>
  <si>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</si>
  <si>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</si>
  <si>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</si>
  <si>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</si>
  <si>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</si>
  <si>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</si>
  <si>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</si>
  <si>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</si>
  <si>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</si>
  <si>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</si>
  <si>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</si>
  <si>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</si>
  <si>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</si>
  <si>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</si>
  <si>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</si>
  <si>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</si>
  <si>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</si>
  <si>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</si>
  <si>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</si>
  <si>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</si>
  <si>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</si>
  <si>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</si>
  <si>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</si>
  <si>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</si>
  <si>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</si>
  <si>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</si>
  <si>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</si>
  <si>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</si>
  <si>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</si>
  <si>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</si>
  <si>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</si>
  <si>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</si>
  <si>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</si>
  <si>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</si>
  <si>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</si>
  <si>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</si>
  <si>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</si>
  <si>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</si>
  <si>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</si>
  <si>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</si>
  <si>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</si>
  <si>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</si>
  <si>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</si>
  <si>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</si>
  <si>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</si>
  <si>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</si>
  <si>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</si>
  <si>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</si>
  <si>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</si>
  <si>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</si>
  <si>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</si>
  <si>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</si>
  <si>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</si>
  <si>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</si>
  <si>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</si>
  <si>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</si>
  <si>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</si>
  <si>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</si>
  <si>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</si>
  <si>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</si>
  <si>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</si>
  <si>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</si>
  <si>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</si>
  <si>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</si>
  <si>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</si>
  <si>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</si>
  <si>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</si>
  <si>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</si>
  <si>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</si>
  <si>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</si>
  <si>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</si>
  <si>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</si>
  <si>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</si>
  <si>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</si>
  <si>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</si>
  <si>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</si>
  <si>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</si>
  <si>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</si>
  <si>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</si>
  <si>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</si>
  <si>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</si>
  <si>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</si>
  <si>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</si>
  <si>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</si>
  <si>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</si>
  <si>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</si>
  <si>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</si>
  <si>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</si>
  <si>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</si>
  <si>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</si>
  <si>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</si>
  <si>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</si>
  <si>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</si>
  <si>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</si>
  <si>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</si>
  <si>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</si>
  <si>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</si>
  <si>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</si>
  <si>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</si>
  <si>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</si>
  <si>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2019 г.</t>
  </si>
  <si>
    <t>Индексы за итогом</t>
  </si>
  <si>
    <t>_OBSM_</t>
  </si>
  <si>
    <t>1-100-30</t>
  </si>
  <si>
    <t>Рабочий среднего разряда 3</t>
  </si>
  <si>
    <t>чел.-ч.</t>
  </si>
  <si>
    <t>1-100-45</t>
  </si>
  <si>
    <t>Рабочий среднего разряда 4.5</t>
  </si>
  <si>
    <t>4-100-00</t>
  </si>
  <si>
    <t>Затраты труда машинистов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</si>
  <si>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</si>
  <si>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</si>
  <si>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</si>
  <si>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маш.-ч</t>
  </si>
  <si>
    <t>01.7.07.29-0111</t>
  </si>
  <si>
    <t>ФССЦ-2001, 01.7.07.29-0111, приказ Минстроя России №1039/пр от 30.12.2016г.</t>
  </si>
  <si>
    <t>Пакля пропитанная</t>
  </si>
  <si>
    <t>кг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</si>
  <si>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</si>
  <si>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</si>
  <si>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</si>
  <si>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м3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</si>
  <si>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</si>
  <si>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</si>
  <si>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</si>
  <si>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</si>
  <si>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</si>
  <si>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</si>
  <si>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</si>
  <si>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</si>
  <si>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</si>
  <si>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</si>
  <si>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</si>
  <si>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</si>
  <si>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</si>
  <si>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</si>
  <si>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</si>
  <si>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</si>
  <si>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</si>
  <si>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</si>
  <si>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</si>
  <si>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</si>
  <si>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01.3.01.02-0002</t>
  </si>
  <si>
    <t>ФССЦ-2001, 01.3.01.02-0002, приказ Минстроя России №1039/пр от 30.12.2016г.</t>
  </si>
  <si>
    <t>Вазелин технический</t>
  </si>
  <si>
    <t>01.7.02.09-0002</t>
  </si>
  <si>
    <t>ФССЦ-2001, 01.7.02.09-0002, приказ Минстроя России №1039/пр от 30.12.2016г.</t>
  </si>
  <si>
    <t>Шпагат бумажный</t>
  </si>
  <si>
    <t>01.7.06.05-0041</t>
  </si>
  <si>
    <t>ФССЦ-2001, 01.7.06.05-0041, приказ Минстроя России №1039/пр от 30.12.2016г.</t>
  </si>
  <si>
    <t>Лента изоляционная прорезиненная односторонняя ширина 20 мм, толщина 0,25-0,35 мм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</si>
  <si>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</si>
  <si>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</si>
  <si>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</si>
  <si>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</si>
  <si>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</si>
  <si>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</si>
  <si>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01.7.15.07-0014</t>
  </si>
  <si>
    <t>ФССЦ-2001, 01.7.15.07-0014, приказ Минстроя России №1039/пр от 30.12.2016г.</t>
  </si>
  <si>
    <t>Дюбели распорные полипропиленовые</t>
  </si>
  <si>
    <t>01.7.20.04-0005</t>
  </si>
  <si>
    <t>ФССЦ-2001, 01.7.20.04-0005, приказ Минстроя России №1039/пр от 30.12.2016г.</t>
  </si>
  <si>
    <t>Нитки швейные</t>
  </si>
  <si>
    <t>07.2.07.04-0007</t>
  </si>
  <si>
    <t>ФССЦ-2001, 07.2.07.04-0007, приказ Минстроя России №1039/пр от 30.12.2016г.</t>
  </si>
  <si>
    <t>Конструкции стальные индивидуальные решетчатые сварные массой до 0,1 т</t>
  </si>
  <si>
    <t>т</t>
  </si>
  <si>
    <t>14.4.02.09-0001</t>
  </si>
  <si>
    <t>ФССЦ-2001, 14.4.02.09-0001, приказ Минстроя России №1039/пр от 30.12.2016г.</t>
  </si>
  <si>
    <t>Краска</t>
  </si>
  <si>
    <t>14.4.03.17-0011</t>
  </si>
  <si>
    <t>ФССЦ-2001, 14.4.03.17-0011, приказ Минстроя России №1039/пр от 30.12.2016г.</t>
  </si>
  <si>
    <t>Лак электроизоляционный 318</t>
  </si>
  <si>
    <t>20.1.02.23-0082</t>
  </si>
  <si>
    <t>ФССЦ-2001, 20.1.02.23-0082, приказ Минстроя России №1039/пр от 30.12.2016г.</t>
  </si>
  <si>
    <t>Перемычки гибкие, тип ПГС-50</t>
  </si>
  <si>
    <t>999-9950</t>
  </si>
  <si>
    <t>Вспомогательные ненормируемые материалы (2% от ОЗП)</t>
  </si>
  <si>
    <t>РУБ</t>
  </si>
  <si>
    <t>1-100-42</t>
  </si>
  <si>
    <t>Рабочий среднего разряда 4.2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</si>
  <si>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</si>
  <si>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</si>
  <si>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</si>
  <si>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</si>
  <si>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</si>
  <si>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</si>
  <si>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01.7.15.14-0161</t>
  </si>
  <si>
    <t>ФССЦ-2001, 01.7.15.14-0161, приказ Минстроя России №1039/пр от 30.12.2016г.</t>
  </si>
  <si>
    <t>Шурупы с полукруглой головкой 2,5х20 мм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</si>
  <si>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</si>
  <si>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</si>
  <si>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</si>
  <si>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1-100-50</t>
  </si>
  <si>
    <t>Рабочий среднего разряда 5</t>
  </si>
  <si>
    <t>01.7.19.04-0031</t>
  </si>
  <si>
    <t>ФССЦ-2001, 01.7.19.04-0031, приказ Минстроя России №1039/пр от 30.12.2016г.</t>
  </si>
  <si>
    <t>Прокладки резиновые (пластина техническая прессованная)</t>
  </si>
  <si>
    <t>25.2.01.01-0017</t>
  </si>
  <si>
    <t>ФССЦ-2001, 25.2.01.01-0017, приказ Минстроя России №1039/пр от 30.12.2016г.</t>
  </si>
  <si>
    <t>Бирки маркировочные пластмассовые</t>
  </si>
  <si>
    <t>1-100-40</t>
  </si>
  <si>
    <t>Рабочий среднего разряда 4</t>
  </si>
  <si>
    <t>1-100-35</t>
  </si>
  <si>
    <t>Рабочий среднего разряда 3.5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</si>
  <si>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</si>
  <si>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</si>
  <si>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</si>
  <si>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01.7.15.14-0168</t>
  </si>
  <si>
    <t>ФССЦ-2001, 01.7.15.14-0168, приказ Минстроя России №1039/пр от 30.12.2016г.</t>
  </si>
  <si>
    <t>Шурупы с полукруглой головкой 5х70 мм</t>
  </si>
  <si>
    <t>03.1.01.01-0002</t>
  </si>
  <si>
    <t>ФССЦ-2001, 03.1.01.01-0002, приказ Минстроя России №1039/пр от 30.12.2016г.</t>
  </si>
  <si>
    <t>Гипсовые вяжущие, марка Г3</t>
  </si>
  <si>
    <t>08.3.03.04-0012</t>
  </si>
  <si>
    <t>ФССЦ-2001, 08.3.03.04-0012, приказ Минстроя России №1039/пр от 30.12.2016г.</t>
  </si>
  <si>
    <t>Проволока светлая диаметром 1,1 мм</t>
  </si>
  <si>
    <t>22.2.02.15-0003</t>
  </si>
  <si>
    <t>ФССЦ-2001, 22.2.02.15-0003, приказ Минстроя России №1039/пр от 30.12.2016г.</t>
  </si>
  <si>
    <t>Скрепы фигурные СкФ-30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</si>
  <si>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</si>
  <si>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</si>
  <si>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</si>
  <si>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</si>
  <si>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</si>
  <si>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</si>
  <si>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</si>
  <si>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01.7.07.07</t>
  </si>
  <si>
    <t>Строительный мусор</t>
  </si>
  <si>
    <t>07.1.04.02</t>
  </si>
  <si>
    <t>Детали крепления стальные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</si>
  <si>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</si>
  <si>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</si>
  <si>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</si>
  <si>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</si>
  <si>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</si>
  <si>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</si>
  <si>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</si>
  <si>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</si>
  <si>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</si>
  <si>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</si>
  <si>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</si>
  <si>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</si>
  <si>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</si>
  <si>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</si>
  <si>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</si>
  <si>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</si>
  <si>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</si>
  <si>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</si>
  <si>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</si>
  <si>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</si>
  <si>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</si>
  <si>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</si>
  <si>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</si>
  <si>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</si>
  <si>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</si>
  <si>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</si>
  <si>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</si>
  <si>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</si>
  <si>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</si>
  <si>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</si>
  <si>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</si>
  <si>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</si>
  <si>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</si>
  <si>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</si>
  <si>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</si>
  <si>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</si>
  <si>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</si>
  <si>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</si>
  <si>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</si>
  <si>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</si>
  <si>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</si>
  <si>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</si>
  <si>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</si>
  <si>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</si>
  <si>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</si>
  <si>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</si>
  <si>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</si>
  <si>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</si>
  <si>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</si>
  <si>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 xml:space="preserve">ЛОКАЛЬНАЯ СМЕТА №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</si>
  <si>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</si>
  <si>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</si>
  <si>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</si>
  <si>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</si>
  <si>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</si>
  <si>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</si>
  <si>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</si>
  <si>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</si>
  <si>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</si>
  <si>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</si>
  <si>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</si>
  <si>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</si>
  <si>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</si>
  <si>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</si>
  <si>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</si>
  <si>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</si>
  <si>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</si>
  <si>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</si>
  <si>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</si>
  <si>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</si>
  <si>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 ОЗП</t>
  </si>
  <si>
    <t xml:space="preserve">   НР от ФОТ</t>
  </si>
  <si>
    <t>%</t>
  </si>
  <si>
    <t xml:space="preserve">   СП от ФОТ</t>
  </si>
  <si>
    <t xml:space="preserve">   Затраты труда рабочих</t>
  </si>
  <si>
    <t>чел-ч</t>
  </si>
  <si>
    <t xml:space="preserve">   ЭММ</t>
  </si>
  <si>
    <t xml:space="preserve">   в т.ч. ЗПМ</t>
  </si>
  <si>
    <t xml:space="preserve">   Материальные ресурсы</t>
  </si>
  <si>
    <t xml:space="preserve"> Расчет цены </t>
  </si>
  <si>
    <t xml:space="preserve">   [184 650 /  12,5] +  2% Заг.скл = 15067.44</t>
  </si>
  <si>
    <t xml:space="preserve">   [106 449,98 /  12,5] +  2% Заг.скл = 8686.32</t>
  </si>
  <si>
    <t xml:space="preserve">   [334 /  12,5] +  2% Заг.скл = 27.25</t>
  </si>
  <si>
    <t xml:space="preserve">   [4,29 /  12,5] +  2% Заг.скл = .35</t>
  </si>
  <si>
    <t xml:space="preserve">   [1 000 /  12,5] +  2% Заг.скл = 81.6</t>
  </si>
  <si>
    <t xml:space="preserve">   [200 /  12,5] +  2% Заг.скл = 16.32</t>
  </si>
  <si>
    <t xml:space="preserve">   [405,07 /  12,5] +  2% Заг.скл = 33.06</t>
  </si>
  <si>
    <t xml:space="preserve">   [132,8 /  12,5] +  2% Заг.скл = 10.83</t>
  </si>
  <si>
    <t xml:space="preserve">   [341,48 /  12,5] +  2% Заг.скл = 27.87</t>
  </si>
  <si>
    <t xml:space="preserve">   [44,73 /  12,5] +  2% Заг.скл = 3.65</t>
  </si>
  <si>
    <t xml:space="preserve">   [64,41 /  12,5] +  2% Заг.скл = 5.25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</si>
  <si>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</si>
  <si>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</si>
  <si>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</si>
  <si>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</si>
  <si>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</si>
  <si>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</si>
  <si>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</si>
  <si>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</si>
  <si>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</si>
  <si>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</si>
  <si>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</si>
  <si>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</si>
  <si>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</si>
  <si>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</si>
  <si>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</si>
  <si>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</si>
  <si>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</si>
  <si>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</si>
  <si>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</si>
  <si>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</si>
  <si>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</si>
  <si>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</si>
  <si>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</si>
  <si>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- уровень цен, использованный последний раз (1 - базовый / 2 - текущий)</t>
  </si>
  <si>
    <t>РАСЧЕТ СТОИМОСТИ</t>
  </si>
  <si>
    <t>материалов</t>
  </si>
  <si>
    <t>№</t>
  </si>
  <si>
    <t>п/п</t>
  </si>
  <si>
    <t>Обосно-</t>
  </si>
  <si>
    <t>вание</t>
  </si>
  <si>
    <t>норматива</t>
  </si>
  <si>
    <t>Наименование</t>
  </si>
  <si>
    <t>материала</t>
  </si>
  <si>
    <t>Единица</t>
  </si>
  <si>
    <t>измере-</t>
  </si>
  <si>
    <t>ния</t>
  </si>
  <si>
    <t>Коли-</t>
  </si>
  <si>
    <t>чество</t>
  </si>
  <si>
    <t>Цена,</t>
  </si>
  <si>
    <t>руб.</t>
  </si>
  <si>
    <t>Стои-</t>
  </si>
  <si>
    <t>мость</t>
  </si>
  <si>
    <t>Расчет цены ресурса,</t>
  </si>
  <si>
    <t>наименование поставщика материала,</t>
  </si>
  <si>
    <t>наименование прайса и номер строки в прайсе</t>
  </si>
  <si>
    <t>Материалы Подрядчика (учтенные в расценках)</t>
  </si>
  <si>
    <t>Расчет цены : (Цена в Базовом уровне * Индекс) = Цена в Текущем уровне                                         ( 9.04  * 12.5  = 113 )</t>
  </si>
  <si>
    <t>Без НДС</t>
  </si>
  <si>
    <t>Расчет цены : (Цена в Базовом уровне * Индекс) = Цена в Текущем уровне                                         ( 180.77  * 12.5  = 2259.62 )</t>
  </si>
  <si>
    <t>Расчет цены : (Цена в Базовом уровне * Индекс) = Цена в Текущем уровне                                         ( 9.61  * 12.5  = 120.12 )</t>
  </si>
  <si>
    <t>Расчет цены : (Цена в Базовом уровне * Индекс) = Цена в Текущем уровне                                         ( 409  * 12.5  = 5112.5 )</t>
  </si>
  <si>
    <t>Расчет цены : (Цена в Базовом уровне * Индекс) = Цена в Текущем уровне                                         ( 14.5  * 12.5  = 181.25 )</t>
  </si>
  <si>
    <t>Расчет цены : (Цена в Базовом уровне * Индекс) = Цена в Текущем уровне                                         ( 43.83  * 12.5  = 547.88 )</t>
  </si>
  <si>
    <t>Расчет цены : (Цена в Базовом уровне * Индекс) = Цена в Текущем уровне                                         ( 44.97  * 12.5  = 562.12 )</t>
  </si>
  <si>
    <t>Расчет цены : (Цена в Базовом уровне * Индекс) = Цена в Текущем уровне                                         ( 11.5  * 12.5  = 143.75 )</t>
  </si>
  <si>
    <t>Расчет цены : (Цена в Базовом уровне * Индекс) = Цена в Текущем уровне                                         ( 30.4  * 12.5  = 380 )</t>
  </si>
  <si>
    <t>Расчет цены : (Цена в Базовом уровне * Индекс) = Цена в Текущем уровне                                         ( 10.57  * 12.5  = 132.12 )</t>
  </si>
  <si>
    <t>Расчет цены : (Цена в Базовом уровне * Индекс) = Цена в Текущем уровне                                         ( 86  * 12.5  = 1075 )</t>
  </si>
  <si>
    <t>Расчет цены : (Цена в Базовом уровне * Индекс) = Цена в Текущем уровне                                         ( 133.05  * 12.5  = 1663.13 )</t>
  </si>
  <si>
    <t>Расчет цены : (Цена в Базовом уровне * Индекс) = Цена в Текущем уровне                                         ( 11500  * 12.5  = 143750 )</t>
  </si>
  <si>
    <t>Расчет цены : (Цена в Базовом уровне * Индекс) = Цена в Текущем уровне                                         ( 28.6  * 12.5  = 357.5 )</t>
  </si>
  <si>
    <t>Расчет цены : (Цена в Базовом уровне * Индекс) = Цена в Текущем уровне                                         ( 35.63  * 12.5  = 445.38 )</t>
  </si>
  <si>
    <t>Расчет цены : (Цена в Базовом уровне * Индекс) = Цена в Текущем уровне                                         ( 39  * 12.5  = 487.5 )</t>
  </si>
  <si>
    <t>Расчет цены : (Цена в Базовом уровне * Индекс) = Цена в Текущем уровне                                         ( 1  * 12.5  = 12.5 )</t>
  </si>
  <si>
    <t>Расчет цены : (Цена в Базовом уровне * Индекс) = Цена в Текущем уровне                                         ( 29800  * 12.5  = 372500 )</t>
  </si>
  <si>
    <t>Расчет цены : (Цена в Базовом уровне * Индекс) = Цена в Текущем уровне                                         ( 12430  * 12.5  = 155375 )</t>
  </si>
  <si>
    <t>Расчет цены : (Цена в Базовом уровне * Индекс) = Цена в Текущем уровне                                         ( 23.09  * 12.5  = 288.62 )</t>
  </si>
  <si>
    <t>Расчет цены : (Цена в Базовом уровне * Индекс) = Цена в Текущем уровне                                         ( 30.74  * 12.5  = 384.25 )</t>
  </si>
  <si>
    <t>Расчет цены : (Цена в Базовом уровне * Индекс) = Цена в Текущем уровне                                         ( 729.98  * 12.5  = 9124.75 )</t>
  </si>
  <si>
    <t>Расчет цены : (Цена в Базовом уровне * Индекс) = Цена в Текущем уровне                                         ( 10200  * 12.5  = 127500 )</t>
  </si>
  <si>
    <t>Расчет цены : (Цена в Базовом уровне * Индекс) = Цена в Текущем уровне                                         ( 155.74  * 12.5  = 1946.75 )</t>
  </si>
  <si>
    <t>Итого</t>
  </si>
  <si>
    <t>Материалы Подрядчика (неучтенные в расценках)</t>
  </si>
  <si>
    <t>Цена по прайсу : (занесенная вручную)</t>
  </si>
  <si>
    <t>Расчет цены : (Цена в Базовом уровне * Индекс) = Цена в Текущем уровне                                         ( 0  * 12.5  )</t>
  </si>
  <si>
    <t>- стоимость материалов (последний расчет)</t>
  </si>
  <si>
    <t>оборудования</t>
  </si>
  <si>
    <t>Не найдено ни одного ресурса выбранного типа.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</si>
</sst>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color rgb="FF0000FF"/>
      <name val="Arial"/>
      <family val="2"/>
      <charset val="204"/>
    </font>
    <font>
      <sz val="8"/>
      <color rgb="FF8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8000"/>
      <name val="Arial"/>
      <family val="2"/>
      <charset val="204"/>
    </font>
    <font>
      <sz val="9"/>
      <color rgb="FF008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Times New Roman Cyr"/>
      <charset val="204"/>
    </font>
    <font>
      <b/>
      <u/>
      <sz val="12"/>
      <name val="Times New Roman"/>
      <family val="1"/>
      <charset val="204"/>
    </font>
    <font>
      <sz val="9"/>
      <color rgb="FFFFFFFF"/>
      <name val="Arial"/>
      <family val="2"/>
      <charset val="204"/>
    </font>
    <font>
      <sz val="9"/>
      <color rgb="FFFF00FF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49" fontId="14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4" fillId="0" borderId="8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wrapText="1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 wrapText="1"/>
    </xf>
    <xf numFmtId="0" fontId="14" fillId="0" borderId="0" xfId="0" applyFont="1" applyAlignment="1">
      <alignment horizontal="right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/>
    </xf>
    <xf numFmtId="0" fontId="0" fillId="0" borderId="0" xfId="0" applyAlignment="1"/>
    <xf numFmtId="14" fontId="0" fillId="0" borderId="0" xfId="0" applyNumberFormat="1"/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horizontal="left" vertical="top" wrapText="1"/>
    </xf>
    <xf numFmtId="49" fontId="21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0" fontId="25" fillId="0" borderId="23" xfId="0" applyFont="1" applyBorder="1" applyAlignment="1">
      <alignment horizontal="left" vertical="top" wrapText="1" shrinkToFit="1"/>
    </xf>
    <xf numFmtId="49" fontId="12" fillId="0" borderId="23" xfId="0" applyNumberFormat="1" applyFont="1" applyBorder="1" applyAlignment="1">
      <alignment horizontal="left" vertical="top" wrapText="1"/>
    </xf>
    <xf numFmtId="49" fontId="24" fillId="0" borderId="23" xfId="0" applyNumberFormat="1" applyFont="1" applyBorder="1" applyAlignment="1">
      <alignment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24" fillId="0" borderId="10" xfId="0" applyFont="1" applyBorder="1" applyAlignment="1">
      <alignment vertical="top" shrinkToFit="1"/>
    </xf>
    <xf numFmtId="0" fontId="25" fillId="0" borderId="10" xfId="0" applyFont="1" applyBorder="1" applyAlignment="1">
      <alignment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26" fillId="0" borderId="28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right" vertical="top" wrapText="1"/>
    </xf>
    <xf numFmtId="0" fontId="26" fillId="0" borderId="28" xfId="0" applyFont="1" applyBorder="1" applyAlignment="1">
      <alignment horizontal="right" vertical="top" shrinkToFit="1"/>
    </xf>
    <xf numFmtId="0" fontId="26" fillId="0" borderId="28" xfId="0" applyFont="1" applyBorder="1" applyAlignment="1">
      <alignment vertical="top" shrinkToFit="1"/>
    </xf>
    <xf numFmtId="0" fontId="26" fillId="0" borderId="15" xfId="0" applyFont="1" applyBorder="1" applyAlignment="1">
      <alignment horizontal="left" vertical="top" wrapText="1"/>
    </xf>
    <xf numFmtId="3" fontId="26" fillId="0" borderId="28" xfId="0" applyNumberFormat="1" applyFont="1" applyBorder="1" applyAlignment="1">
      <alignment vertical="top" shrinkToFit="1"/>
    </xf>
    <xf numFmtId="4" fontId="26" fillId="0" borderId="28" xfId="0" applyNumberFormat="1" applyFont="1" applyBorder="1" applyAlignment="1">
      <alignment vertical="top" shrinkToFit="1"/>
    </xf>
    <xf numFmtId="4" fontId="26" fillId="0" borderId="29" xfId="0" applyNumberFormat="1" applyFont="1" applyBorder="1" applyAlignment="1">
      <alignment vertical="top" shrinkToFit="1"/>
    </xf>
    <xf numFmtId="9" fontId="26" fillId="0" borderId="28" xfId="0" applyNumberFormat="1" applyFont="1" applyBorder="1" applyAlignment="1">
      <alignment vertical="top" shrinkToFit="1"/>
    </xf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24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0" fontId="24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0" fontId="24" fillId="0" borderId="6" xfId="0" applyFont="1" applyBorder="1" applyAlignment="1">
      <alignment vertical="top" shrinkToFit="1"/>
    </xf>
    <xf numFmtId="0" fontId="25" fillId="0" borderId="6" xfId="0" applyFont="1" applyBorder="1" applyAlignment="1">
      <alignment horizontal="left" vertical="top" wrapText="1" shrinkToFit="1"/>
    </xf>
    <xf numFmtId="49" fontId="12" fillId="0" borderId="6" xfId="0" applyNumberFormat="1" applyFont="1" applyBorder="1" applyAlignment="1">
      <alignment horizontal="left" vertical="top" wrapText="1"/>
    </xf>
    <xf numFmtId="49" fontId="24" fillId="0" borderId="6" xfId="0" applyNumberFormat="1" applyFont="1" applyBorder="1" applyAlignment="1">
      <alignment vertical="top" wrapText="1" shrinkToFit="1"/>
    </xf>
    <xf numFmtId="0" fontId="25" fillId="0" borderId="28" xfId="0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27" fillId="0" borderId="32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right" wrapText="1"/>
    </xf>
    <xf numFmtId="0" fontId="28" fillId="0" borderId="6" xfId="0" applyFont="1" applyBorder="1" applyAlignment="1">
      <alignment horizontal="right" shrinkToFit="1"/>
    </xf>
    <xf numFmtId="4" fontId="27" fillId="0" borderId="6" xfId="0" applyNumberFormat="1" applyFont="1" applyBorder="1" applyAlignment="1">
      <alignment vertical="top" shrinkToFit="1"/>
    </xf>
    <xf numFmtId="4" fontId="27" fillId="0" borderId="33" xfId="0" applyNumberFormat="1" applyFont="1" applyBorder="1" applyAlignment="1">
      <alignment vertical="top" shrinkToFit="1"/>
    </xf>
    <xf numFmtId="0" fontId="25" fillId="0" borderId="6" xfId="0" applyFont="1" applyBorder="1" applyAlignment="1">
      <alignment vertical="top" shrinkToFit="1"/>
    </xf>
    <xf numFmtId="49" fontId="27" fillId="0" borderId="6" xfId="0" applyNumberFormat="1" applyFont="1" applyBorder="1" applyAlignment="1">
      <alignment horizontal="left" vertical="top" wrapText="1"/>
    </xf>
    <xf numFmtId="0" fontId="0" fillId="0" borderId="34" xfId="0" applyBorder="1"/>
    <xf numFmtId="0" fontId="24" fillId="0" borderId="35" xfId="0" applyFont="1" applyBorder="1" applyAlignment="1">
      <alignment horizontal="left" vertical="top"/>
    </xf>
    <xf numFmtId="0" fontId="0" fillId="0" borderId="35" xfId="0" applyBorder="1"/>
    <xf numFmtId="0" fontId="0" fillId="0" borderId="36" xfId="0" applyBorder="1"/>
    <xf numFmtId="0" fontId="27" fillId="0" borderId="34" xfId="0" applyFont="1" applyBorder="1" applyAlignment="1">
      <alignment horizontal="left" vertical="top" wrapText="1"/>
    </xf>
    <xf numFmtId="49" fontId="27" fillId="0" borderId="35" xfId="0" applyNumberFormat="1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7" fillId="0" borderId="35" xfId="0" applyFont="1" applyBorder="1" applyAlignment="1">
      <alignment horizontal="right" wrapText="1"/>
    </xf>
    <xf numFmtId="0" fontId="28" fillId="0" borderId="35" xfId="0" applyFont="1" applyBorder="1" applyAlignment="1">
      <alignment horizontal="right" shrinkToFit="1"/>
    </xf>
    <xf numFmtId="4" fontId="27" fillId="0" borderId="35" xfId="0" applyNumberFormat="1" applyFont="1" applyBorder="1" applyAlignment="1">
      <alignment vertical="top" shrinkToFit="1"/>
    </xf>
    <xf numFmtId="0" fontId="24" fillId="0" borderId="35" xfId="0" applyFont="1" applyBorder="1" applyAlignment="1">
      <alignment vertical="top" shrinkToFit="1"/>
    </xf>
    <xf numFmtId="0" fontId="25" fillId="0" borderId="35" xfId="0" applyFont="1" applyBorder="1" applyAlignment="1">
      <alignment vertical="top" shrinkToFit="1"/>
    </xf>
    <xf numFmtId="4" fontId="27" fillId="0" borderId="36" xfId="0" applyNumberFormat="1" applyFont="1" applyBorder="1" applyAlignment="1">
      <alignment vertical="top" shrinkToFit="1"/>
    </xf>
    <xf numFmtId="0" fontId="0" fillId="0" borderId="19" xfId="0" applyBorder="1" applyAlignment="1">
      <alignment shrinkToFit="1"/>
    </xf>
    <xf numFmtId="0" fontId="18" fillId="0" borderId="19" xfId="0" applyFont="1" applyBorder="1" applyAlignment="1">
      <alignment shrinkToFit="1"/>
    </xf>
    <xf numFmtId="4" fontId="18" fillId="0" borderId="19" xfId="0" applyNumberFormat="1" applyFont="1" applyBorder="1" applyAlignment="1">
      <alignment shrinkToFit="1"/>
    </xf>
    <xf numFmtId="4" fontId="0" fillId="0" borderId="0" xfId="0" applyNumberFormat="1" applyAlignment="1">
      <alignment shrinkToFit="1"/>
    </xf>
    <xf numFmtId="0" fontId="29" fillId="0" borderId="0" xfId="0" applyFont="1"/>
    <xf numFmtId="0" fontId="0" fillId="0" borderId="0" xfId="0" applyAlignment="1">
      <alignment shrinkToFit="1"/>
    </xf>
    <xf numFmtId="0" fontId="30" fillId="0" borderId="0" xfId="0" applyFont="1"/>
    <xf numFmtId="0" fontId="18" fillId="0" borderId="0" xfId="0" applyFont="1" applyAlignment="1"/>
    <xf numFmtId="4" fontId="30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3" xfId="0" applyFont="1" applyBorder="1" applyAlignment="1">
      <alignment horizontal="center"/>
    </xf>
    <xf numFmtId="0" fontId="13" fillId="0" borderId="0" xfId="0" applyFont="1"/>
    <xf numFmtId="0" fontId="32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3" fillId="0" borderId="0" xfId="0" applyFont="1"/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 vertical="top" shrinkToFit="1"/>
    </xf>
    <xf numFmtId="4" fontId="17" fillId="0" borderId="0" xfId="0" applyNumberFormat="1" applyFont="1"/>
    <xf numFmtId="0" fontId="0" fillId="0" borderId="6" xfId="0" applyFill="1" applyBorder="1"/>
    <xf numFmtId="0" fontId="18" fillId="0" borderId="6" xfId="0" applyFont="1" applyFill="1" applyBorder="1" applyAlignment="1">
      <alignment horizontal="left" vertical="top"/>
    </xf>
    <xf numFmtId="4" fontId="18" fillId="0" borderId="6" xfId="0" applyNumberFormat="1" applyFont="1" applyFill="1" applyBorder="1" applyAlignment="1">
      <alignment horizontal="right" vertical="top" shrinkToFit="1"/>
    </xf>
    <xf numFmtId="0" fontId="18" fillId="0" borderId="6" xfId="0" applyFont="1" applyFill="1" applyBorder="1"/>
    <xf numFmtId="0" fontId="21" fillId="0" borderId="6" xfId="0" applyFont="1" applyFill="1" applyBorder="1" applyAlignment="1">
      <alignment horizontal="center" vertical="top" shrinkToFit="1"/>
    </xf>
    <xf numFmtId="0" fontId="21" fillId="0" borderId="6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right" shrinkToFit="1"/>
    </xf>
    <xf numFmtId="4" fontId="21" fillId="0" borderId="6" xfId="0" applyNumberFormat="1" applyFont="1" applyFill="1" applyBorder="1" applyAlignment="1">
      <alignment horizontal="right" shrinkToFit="1"/>
    </xf>
    <xf numFmtId="0" fontId="28" fillId="0" borderId="6" xfId="0" applyFont="1" applyFill="1" applyBorder="1" applyAlignment="1">
      <alignment horizontal="left" vertical="top" wrapText="1"/>
    </xf>
    <xf numFmtId="0" fontId="34" fillId="0" borderId="6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35" fillId="0" borderId="0" xfId="0" applyFont="1"/>
    <xf numFmtId="0" fontId="3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9"/>
  <sheetViews>
    <sheetView tabSelected="1"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87" t="s">
        <v>368</v>
      </c>
      <c r="B1" s="187"/>
      <c r="C1" s="187"/>
      <c r="D1" s="187"/>
      <c r="E1" s="187"/>
      <c r="F1" s="187"/>
      <c r="G1" s="187"/>
    </row>
    <row r="3" spans="1:255" x14ac:dyDescent="0.2">
      <c r="A3" s="23" t="s">
        <v>375</v>
      </c>
      <c r="B3" s="22"/>
      <c r="C3" s="33"/>
      <c r="D3" s="34"/>
      <c r="E3" s="34"/>
      <c r="F3" s="34"/>
      <c r="G3" s="34"/>
      <c r="BR3" s="25">
        <f>C3</f>
        <v>0</v>
      </c>
      <c r="IU3" s="26"/>
    </row>
    <row r="4" spans="1:255" x14ac:dyDescent="0.2">
      <c r="A4" s="23" t="s">
        <v>377</v>
      </c>
      <c r="B4" s="22"/>
      <c r="C4" s="30"/>
      <c r="D4" s="29"/>
      <c r="E4" s="29"/>
      <c r="F4" s="29"/>
      <c r="G4" s="29"/>
      <c r="BR4" s="25">
        <f>C4</f>
        <v>0</v>
      </c>
      <c r="IU4" s="26"/>
    </row>
    <row r="5" spans="1:255" x14ac:dyDescent="0.2">
      <c r="A5" s="23" t="s">
        <v>378</v>
      </c>
      <c r="B5" s="22"/>
      <c r="C5" s="30"/>
      <c r="D5" s="29"/>
      <c r="E5" s="29"/>
      <c r="F5" s="29"/>
      <c r="G5" s="29"/>
      <c r="BR5" s="25">
        <f>C5</f>
        <v>0</v>
      </c>
      <c r="IU5" s="26"/>
    </row>
    <row r="6" spans="1:255" x14ac:dyDescent="0.2">
      <c r="A6" s="23" t="s">
        <v>379</v>
      </c>
      <c r="B6" s="22"/>
      <c r="C6" s="31"/>
      <c r="D6" s="32"/>
      <c r="E6" s="32"/>
      <c r="F6" s="32"/>
      <c r="G6" s="32"/>
      <c r="BR6" s="25">
        <f>C6</f>
        <v>0</v>
      </c>
      <c r="IU6" s="26"/>
    </row>
    <row r="7" spans="1:255" x14ac:dyDescent="0.2">
      <c r="A7" s="57"/>
      <c r="B7" s="57"/>
      <c r="C7" s="57"/>
      <c r="D7" s="57"/>
      <c r="E7" s="57"/>
      <c r="F7" s="57"/>
      <c r="G7" s="57"/>
    </row>
    <row r="8" spans="1:255" ht="18.75" x14ac:dyDescent="0.3">
      <c r="A8" s="58" t="s">
        <v>468</v>
      </c>
      <c r="B8" s="58"/>
      <c r="C8" s="58"/>
      <c r="D8" s="58"/>
      <c r="E8" s="58"/>
      <c r="F8" s="58"/>
      <c r="G8" s="58"/>
    </row>
    <row r="9" spans="1:255" x14ac:dyDescent="0.2">
      <c r="A9" s="68" t="s">
        <v>520</v>
      </c>
      <c r="B9" s="68"/>
      <c r="C9" s="68"/>
      <c r="D9" s="68"/>
      <c r="E9" s="68"/>
      <c r="F9" s="68"/>
      <c r="G9" s="68"/>
    </row>
    <row r="10" spans="1:255" x14ac:dyDescent="0.2">
      <c r="A10" s="68"/>
      <c r="B10" s="68"/>
      <c r="C10" s="68"/>
      <c r="D10" s="68"/>
      <c r="E10" s="68"/>
      <c r="F10" s="68"/>
      <c r="G10" s="68"/>
    </row>
    <row r="11" spans="1:255" ht="15.75" x14ac:dyDescent="0.25">
      <c r="A11" s="13" t="s">
        <v>381</v>
      </c>
      <c r="B11" s="188" t="s">
        <v>5</v>
      </c>
      <c r="C11" s="188"/>
      <c r="D11" s="188"/>
      <c r="E11" s="188"/>
      <c r="F11" s="188"/>
      <c r="G11" s="188"/>
      <c r="BS11" s="189" t="str">
        <f>B11</f>
        <v>Установка ПКУ В РУ-10 кВ ТП514</v>
      </c>
      <c r="IU11" s="26"/>
    </row>
    <row r="13" spans="1:255" x14ac:dyDescent="0.2">
      <c r="A13" s="13" t="s">
        <v>396</v>
      </c>
    </row>
    <row r="14" spans="1:255" x14ac:dyDescent="0.2">
      <c r="A14" s="13" t="s">
        <v>397</v>
      </c>
    </row>
    <row r="15" spans="1:255" x14ac:dyDescent="0.2">
      <c r="A15" s="190" t="s">
        <v>470</v>
      </c>
      <c r="B15" s="190" t="s">
        <v>472</v>
      </c>
      <c r="C15" s="190" t="s">
        <v>475</v>
      </c>
      <c r="D15" s="190" t="s">
        <v>477</v>
      </c>
      <c r="E15" s="190" t="s">
        <v>480</v>
      </c>
      <c r="F15" s="190" t="s">
        <v>482</v>
      </c>
      <c r="G15" s="190" t="s">
        <v>484</v>
      </c>
      <c r="H15" s="190" t="s">
        <v>486</v>
      </c>
      <c r="I15" s="191" t="s">
        <v>457</v>
      </c>
    </row>
    <row r="16" spans="1:255" x14ac:dyDescent="0.2">
      <c r="A16" s="192" t="s">
        <v>471</v>
      </c>
      <c r="B16" s="192" t="s">
        <v>473</v>
      </c>
      <c r="C16" s="192" t="s">
        <v>476</v>
      </c>
      <c r="D16" s="192" t="s">
        <v>478</v>
      </c>
      <c r="E16" s="192" t="s">
        <v>481</v>
      </c>
      <c r="F16" s="192" t="s">
        <v>483</v>
      </c>
      <c r="G16" s="192" t="s">
        <v>485</v>
      </c>
      <c r="H16" s="192" t="s">
        <v>487</v>
      </c>
      <c r="I16" s="193" t="s">
        <v>425</v>
      </c>
    </row>
    <row r="17" spans="1:255" x14ac:dyDescent="0.2">
      <c r="A17" s="192"/>
      <c r="B17" s="192" t="s">
        <v>474</v>
      </c>
      <c r="C17" s="192"/>
      <c r="D17" s="192" t="s">
        <v>479</v>
      </c>
      <c r="E17" s="192"/>
      <c r="F17" s="192"/>
      <c r="G17" s="192" t="s">
        <v>483</v>
      </c>
      <c r="H17" s="192" t="s">
        <v>488</v>
      </c>
      <c r="I17" s="193"/>
    </row>
    <row r="18" spans="1:255" x14ac:dyDescent="0.2">
      <c r="A18" s="194">
        <v>1</v>
      </c>
      <c r="B18" s="194">
        <v>2</v>
      </c>
      <c r="C18" s="194">
        <v>3</v>
      </c>
      <c r="D18" s="194">
        <v>4</v>
      </c>
      <c r="E18" s="194">
        <v>5</v>
      </c>
      <c r="F18" s="194">
        <v>6</v>
      </c>
      <c r="G18" s="194">
        <v>7</v>
      </c>
      <c r="H18" s="194">
        <v>8</v>
      </c>
      <c r="I18" s="195">
        <v>9</v>
      </c>
    </row>
    <row r="20" spans="1:255" x14ac:dyDescent="0.2">
      <c r="C20" t="s">
        <v>521</v>
      </c>
    </row>
    <row r="22" spans="1:255" x14ac:dyDescent="0.2">
      <c r="A22" s="180" t="s">
        <v>464</v>
      </c>
      <c r="B22" s="180"/>
      <c r="C22" s="210"/>
      <c r="D22" s="181"/>
      <c r="E22" s="181"/>
      <c r="F22" s="182"/>
      <c r="G22" s="182"/>
      <c r="BY22" s="183">
        <f>C22</f>
        <v>0</v>
      </c>
      <c r="BZ22" s="183">
        <f>F22</f>
        <v>0</v>
      </c>
      <c r="IU22" s="26"/>
    </row>
    <row r="23" spans="1:255" s="212" customFormat="1" ht="11.25" x14ac:dyDescent="0.2">
      <c r="A23" s="211"/>
      <c r="B23" s="211"/>
      <c r="C23" s="213" t="s">
        <v>460</v>
      </c>
      <c r="D23" s="213"/>
      <c r="E23" s="213"/>
      <c r="F23" s="213" t="s">
        <v>461</v>
      </c>
      <c r="G23" s="213"/>
    </row>
    <row r="24" spans="1:255" x14ac:dyDescent="0.2">
      <c r="A24" s="21"/>
      <c r="B24" s="21"/>
      <c r="C24" s="21"/>
      <c r="D24" s="11" t="s">
        <v>462</v>
      </c>
      <c r="E24" s="21"/>
      <c r="F24" s="21"/>
      <c r="G24" s="21"/>
    </row>
    <row r="25" spans="1:255" x14ac:dyDescent="0.2">
      <c r="A25" s="180" t="s">
        <v>465</v>
      </c>
      <c r="B25" s="180"/>
      <c r="C25" s="210"/>
      <c r="D25" s="181"/>
      <c r="E25" s="181"/>
      <c r="F25" s="182"/>
      <c r="G25" s="182"/>
      <c r="BY25" s="183">
        <f>C25</f>
        <v>0</v>
      </c>
      <c r="BZ25" s="183">
        <f>F25</f>
        <v>0</v>
      </c>
      <c r="IU25" s="26"/>
    </row>
    <row r="26" spans="1:255" s="212" customFormat="1" ht="11.25" x14ac:dyDescent="0.2">
      <c r="A26" s="211"/>
      <c r="B26" s="211"/>
      <c r="C26" s="213" t="s">
        <v>460</v>
      </c>
      <c r="D26" s="213"/>
      <c r="E26" s="213"/>
      <c r="F26" s="213" t="s">
        <v>461</v>
      </c>
      <c r="G26" s="213"/>
    </row>
    <row r="27" spans="1:255" x14ac:dyDescent="0.2">
      <c r="A27" s="21"/>
      <c r="B27" s="21"/>
      <c r="C27" s="21"/>
      <c r="D27" s="11" t="s">
        <v>462</v>
      </c>
      <c r="E27" s="21"/>
      <c r="F27" s="21"/>
      <c r="G27" s="21"/>
    </row>
    <row r="29" spans="1:255" x14ac:dyDescent="0.2">
      <c r="A29" s="54"/>
      <c r="B29" s="54"/>
    </row>
  </sheetData>
  <mergeCells count="16">
    <mergeCell ref="F25:G25"/>
    <mergeCell ref="C26:E26"/>
    <mergeCell ref="F26:G26"/>
    <mergeCell ref="A8:G8"/>
    <mergeCell ref="A9:G9"/>
    <mergeCell ref="A10:G10"/>
    <mergeCell ref="B11:G11"/>
    <mergeCell ref="F22:G22"/>
    <mergeCell ref="C23:E23"/>
    <mergeCell ref="F23:G23"/>
    <mergeCell ref="A1:G1"/>
    <mergeCell ref="C3:G3"/>
    <mergeCell ref="C4:G4"/>
    <mergeCell ref="C5:G5"/>
    <mergeCell ref="C6:G6"/>
    <mergeCell ref="A7:G7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70"/>
  <sheetViews>
    <sheetView workbookViewId="0">
      <selection sqref="A1:G1"/>
    </sheetView>
  </sheetViews>
  <sheetFormatPr defaultRowHeight="12.75" x14ac:dyDescent="0.2"/>
  <cols>
    <col min="1" max="1" width="6.7109375" customWidth="1"/>
    <col min="2" max="2" width="10.7109375" customWidth="1"/>
    <col min="3" max="3" width="33.7109375" customWidth="1"/>
    <col min="4" max="7" width="8.7109375" customWidth="1"/>
    <col min="8" max="8" width="70.7109375" customWidth="1"/>
    <col min="9" max="9" width="8.7109375" customWidth="1"/>
    <col min="11" max="69" width="0" hidden="1" customWidth="1"/>
    <col min="70" max="70" width="66.7109375" hidden="1" customWidth="1"/>
    <col min="71" max="71" width="76.7109375" hidden="1" customWidth="1"/>
    <col min="72" max="76" width="0" hidden="1" customWidth="1"/>
    <col min="77" max="77" width="34.7109375" hidden="1" customWidth="1"/>
    <col min="78" max="78" width="17.7109375" hidden="1" customWidth="1"/>
    <col min="79" max="256" width="0" hidden="1" customWidth="1"/>
  </cols>
  <sheetData>
    <row r="1" spans="1:255" s="14" customFormat="1" ht="11.25" x14ac:dyDescent="0.2">
      <c r="A1" s="187" t="s">
        <v>368</v>
      </c>
      <c r="B1" s="187"/>
      <c r="C1" s="187"/>
      <c r="D1" s="187"/>
      <c r="E1" s="187"/>
      <c r="F1" s="187"/>
      <c r="G1" s="187"/>
    </row>
    <row r="3" spans="1:255" x14ac:dyDescent="0.2">
      <c r="A3" s="23" t="s">
        <v>375</v>
      </c>
      <c r="B3" s="22"/>
      <c r="C3" s="33"/>
      <c r="D3" s="34"/>
      <c r="E3" s="34"/>
      <c r="F3" s="34"/>
      <c r="G3" s="34"/>
      <c r="BR3" s="25">
        <f>C3</f>
        <v>0</v>
      </c>
      <c r="IU3" s="26"/>
    </row>
    <row r="4" spans="1:255" x14ac:dyDescent="0.2">
      <c r="A4" s="23" t="s">
        <v>377</v>
      </c>
      <c r="B4" s="22"/>
      <c r="C4" s="30"/>
      <c r="D4" s="29"/>
      <c r="E4" s="29"/>
      <c r="F4" s="29"/>
      <c r="G4" s="29"/>
      <c r="BR4" s="25">
        <f>C4</f>
        <v>0</v>
      </c>
      <c r="IU4" s="26"/>
    </row>
    <row r="5" spans="1:255" x14ac:dyDescent="0.2">
      <c r="A5" s="23" t="s">
        <v>378</v>
      </c>
      <c r="B5" s="22"/>
      <c r="C5" s="30"/>
      <c r="D5" s="29"/>
      <c r="E5" s="29"/>
      <c r="F5" s="29"/>
      <c r="G5" s="29"/>
      <c r="BR5" s="25">
        <f>C5</f>
        <v>0</v>
      </c>
      <c r="IU5" s="26"/>
    </row>
    <row r="6" spans="1:255" x14ac:dyDescent="0.2">
      <c r="A6" s="23" t="s">
        <v>379</v>
      </c>
      <c r="B6" s="22"/>
      <c r="C6" s="31"/>
      <c r="D6" s="32"/>
      <c r="E6" s="32"/>
      <c r="F6" s="32"/>
      <c r="G6" s="32"/>
      <c r="BR6" s="25">
        <f>C6</f>
        <v>0</v>
      </c>
      <c r="IU6" s="26"/>
    </row>
    <row r="7" spans="1:255" x14ac:dyDescent="0.2">
      <c r="A7" s="57"/>
      <c r="B7" s="57"/>
      <c r="C7" s="57"/>
      <c r="D7" s="57"/>
      <c r="E7" s="57"/>
      <c r="F7" s="57"/>
      <c r="G7" s="57"/>
    </row>
    <row r="8" spans="1:255" ht="18.75" x14ac:dyDescent="0.3">
      <c r="A8" s="58" t="s">
        <v>468</v>
      </c>
      <c r="B8" s="58"/>
      <c r="C8" s="58"/>
      <c r="D8" s="58"/>
      <c r="E8" s="58"/>
      <c r="F8" s="58"/>
      <c r="G8" s="58"/>
    </row>
    <row r="9" spans="1:255" x14ac:dyDescent="0.2">
      <c r="A9" s="68" t="s">
        <v>469</v>
      </c>
      <c r="B9" s="68"/>
      <c r="C9" s="68"/>
      <c r="D9" s="68"/>
      <c r="E9" s="68"/>
      <c r="F9" s="68"/>
      <c r="G9" s="68"/>
    </row>
    <row r="10" spans="1:255" x14ac:dyDescent="0.2">
      <c r="A10" s="68"/>
      <c r="B10" s="68"/>
      <c r="C10" s="68"/>
      <c r="D10" s="68"/>
      <c r="E10" s="68"/>
      <c r="F10" s="68"/>
      <c r="G10" s="68"/>
    </row>
    <row r="11" spans="1:255" ht="15.75" x14ac:dyDescent="0.25">
      <c r="A11" s="13" t="s">
        <v>381</v>
      </c>
      <c r="B11" s="188" t="s">
        <v>5</v>
      </c>
      <c r="C11" s="188"/>
      <c r="D11" s="188"/>
      <c r="E11" s="188"/>
      <c r="F11" s="188"/>
      <c r="G11" s="188"/>
      <c r="BS11" s="189" t="str">
        <f>B11</f>
        <v>Установка ПКУ В РУ-10 кВ ТП514</v>
      </c>
      <c r="IU11" s="26"/>
    </row>
    <row r="13" spans="1:255" x14ac:dyDescent="0.2">
      <c r="A13" s="13" t="s">
        <v>396</v>
      </c>
    </row>
    <row r="14" spans="1:255" x14ac:dyDescent="0.2">
      <c r="A14" s="13" t="s">
        <v>397</v>
      </c>
    </row>
    <row r="15" spans="1:255" x14ac:dyDescent="0.2">
      <c r="A15" s="190" t="s">
        <v>470</v>
      </c>
      <c r="B15" s="190" t="s">
        <v>472</v>
      </c>
      <c r="C15" s="190" t="s">
        <v>475</v>
      </c>
      <c r="D15" s="190" t="s">
        <v>477</v>
      </c>
      <c r="E15" s="190" t="s">
        <v>480</v>
      </c>
      <c r="F15" s="190" t="s">
        <v>482</v>
      </c>
      <c r="G15" s="190" t="s">
        <v>484</v>
      </c>
      <c r="H15" s="190" t="s">
        <v>486</v>
      </c>
      <c r="I15" s="191" t="s">
        <v>457</v>
      </c>
    </row>
    <row r="16" spans="1:255" x14ac:dyDescent="0.2">
      <c r="A16" s="192" t="s">
        <v>471</v>
      </c>
      <c r="B16" s="192" t="s">
        <v>473</v>
      </c>
      <c r="C16" s="192" t="s">
        <v>476</v>
      </c>
      <c r="D16" s="192" t="s">
        <v>478</v>
      </c>
      <c r="E16" s="192" t="s">
        <v>481</v>
      </c>
      <c r="F16" s="192" t="s">
        <v>483</v>
      </c>
      <c r="G16" s="192" t="s">
        <v>485</v>
      </c>
      <c r="H16" s="192" t="s">
        <v>487</v>
      </c>
      <c r="I16" s="193" t="s">
        <v>425</v>
      </c>
    </row>
    <row r="17" spans="1:255" x14ac:dyDescent="0.2">
      <c r="A17" s="192"/>
      <c r="B17" s="192" t="s">
        <v>474</v>
      </c>
      <c r="C17" s="192"/>
      <c r="D17" s="192" t="s">
        <v>479</v>
      </c>
      <c r="E17" s="192"/>
      <c r="F17" s="192"/>
      <c r="G17" s="192" t="s">
        <v>483</v>
      </c>
      <c r="H17" s="192" t="s">
        <v>488</v>
      </c>
      <c r="I17" s="193"/>
    </row>
    <row r="18" spans="1:255" x14ac:dyDescent="0.2">
      <c r="A18" s="190">
        <v>1</v>
      </c>
      <c r="B18" s="190">
        <v>2</v>
      </c>
      <c r="C18" s="190">
        <v>3</v>
      </c>
      <c r="D18" s="190">
        <v>4</v>
      </c>
      <c r="E18" s="190">
        <v>5</v>
      </c>
      <c r="F18" s="190">
        <v>6</v>
      </c>
      <c r="G18" s="190">
        <v>7</v>
      </c>
      <c r="H18" s="190">
        <v>8</v>
      </c>
      <c r="I18" s="191">
        <v>9</v>
      </c>
    </row>
    <row r="19" spans="1:255" x14ac:dyDescent="0.2">
      <c r="A19" s="203"/>
      <c r="B19" s="203" t="s">
        <v>489</v>
      </c>
      <c r="C19" s="203"/>
      <c r="D19" s="203"/>
      <c r="E19" s="203"/>
      <c r="F19" s="203"/>
      <c r="G19" s="200"/>
      <c r="H19" s="200"/>
      <c r="I19" s="200"/>
    </row>
    <row r="20" spans="1:255" s="74" customFormat="1" ht="24" x14ac:dyDescent="0.2">
      <c r="A20" s="204">
        <v>1</v>
      </c>
      <c r="B20" s="205" t="s">
        <v>320</v>
      </c>
      <c r="C20" s="205" t="s">
        <v>322</v>
      </c>
      <c r="D20" s="205" t="s">
        <v>250</v>
      </c>
      <c r="E20" s="206">
        <f>O20</f>
        <v>0.02</v>
      </c>
      <c r="F20" s="207">
        <f>ROUND( 30.74 * 12.5, 2 )</f>
        <v>384.25</v>
      </c>
      <c r="G20" s="207">
        <f>ROUND(E20*F20,2)</f>
        <v>7.69</v>
      </c>
      <c r="H20" s="208" t="s">
        <v>511</v>
      </c>
      <c r="I20" s="208" t="s">
        <v>491</v>
      </c>
      <c r="N20" s="196"/>
      <c r="O20" s="196">
        <f>SUM(P20:IV20)</f>
        <v>0.02</v>
      </c>
      <c r="P20" s="196">
        <f>SmtRes!CX73</f>
        <v>0.02</v>
      </c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</row>
    <row r="21" spans="1:255" s="74" customFormat="1" ht="24" x14ac:dyDescent="0.2">
      <c r="A21" s="204">
        <v>2</v>
      </c>
      <c r="B21" s="205" t="s">
        <v>276</v>
      </c>
      <c r="C21" s="205" t="s">
        <v>278</v>
      </c>
      <c r="D21" s="205" t="s">
        <v>239</v>
      </c>
      <c r="E21" s="206">
        <f>O21</f>
        <v>4.9000000000000002E-2</v>
      </c>
      <c r="F21" s="207">
        <f>ROUND( 9.04 * 12.5, 2 )</f>
        <v>113</v>
      </c>
      <c r="G21" s="207">
        <f>ROUND(E21*F21,2)</f>
        <v>5.54</v>
      </c>
      <c r="H21" s="208" t="s">
        <v>490</v>
      </c>
      <c r="I21" s="208" t="s">
        <v>491</v>
      </c>
      <c r="N21" s="196"/>
      <c r="O21" s="196">
        <f>SUM(P21:IV21)</f>
        <v>4.9000000000000002E-2</v>
      </c>
      <c r="P21" s="196">
        <f>SmtRes!CX41</f>
        <v>4.9000000000000002E-2</v>
      </c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</row>
    <row r="22" spans="1:255" s="74" customFormat="1" ht="24" x14ac:dyDescent="0.2">
      <c r="A22" s="204">
        <v>3</v>
      </c>
      <c r="B22" s="205" t="s">
        <v>264</v>
      </c>
      <c r="C22" s="205" t="s">
        <v>266</v>
      </c>
      <c r="D22" s="205" t="s">
        <v>239</v>
      </c>
      <c r="E22" s="206">
        <f>O22</f>
        <v>6.0000000000000001E-3</v>
      </c>
      <c r="F22" s="207">
        <f>ROUND( 44.97 * 12.5, 2 )</f>
        <v>562.13</v>
      </c>
      <c r="G22" s="207">
        <f>ROUND(E22*F22,2)</f>
        <v>3.37</v>
      </c>
      <c r="H22" s="208" t="s">
        <v>497</v>
      </c>
      <c r="I22" s="208" t="s">
        <v>491</v>
      </c>
      <c r="N22" s="196"/>
      <c r="O22" s="196">
        <f>SUM(P22:IV22)</f>
        <v>6.0000000000000001E-3</v>
      </c>
      <c r="P22" s="196">
        <f>SmtRes!CX37</f>
        <v>6.0000000000000001E-3</v>
      </c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  <c r="IG22" s="196"/>
      <c r="IH22" s="196"/>
      <c r="II22" s="196"/>
      <c r="IJ22" s="196"/>
      <c r="IK22" s="196"/>
      <c r="IL22" s="196"/>
      <c r="IM22" s="196"/>
      <c r="IN22" s="196"/>
      <c r="IO22" s="196"/>
      <c r="IP22" s="196"/>
      <c r="IQ22" s="196"/>
      <c r="IR22" s="196"/>
      <c r="IS22" s="196"/>
      <c r="IT22" s="196"/>
      <c r="IU22" s="196"/>
    </row>
    <row r="23" spans="1:255" s="74" customFormat="1" ht="24" x14ac:dyDescent="0.2">
      <c r="A23" s="204">
        <v>4</v>
      </c>
      <c r="B23" s="205" t="s">
        <v>298</v>
      </c>
      <c r="C23" s="205" t="s">
        <v>299</v>
      </c>
      <c r="D23" s="205" t="s">
        <v>300</v>
      </c>
      <c r="E23" s="206">
        <f>O23</f>
        <v>1.9704000000000002</v>
      </c>
      <c r="F23" s="207">
        <f>ROUND( 1 * 12.5, 2 )</f>
        <v>12.5</v>
      </c>
      <c r="G23" s="207">
        <f>ROUND(E23*F23,2)</f>
        <v>24.63</v>
      </c>
      <c r="H23" s="208" t="s">
        <v>507</v>
      </c>
      <c r="I23" s="208" t="s">
        <v>491</v>
      </c>
      <c r="N23" s="196"/>
      <c r="O23" s="196">
        <f>SUM(P23:IV23)</f>
        <v>1.9704000000000002</v>
      </c>
      <c r="P23" s="196">
        <f>SmtRes!CX48</f>
        <v>0.3</v>
      </c>
      <c r="Q23" s="196">
        <f>SmtRes!CX66</f>
        <v>6.8600000000000008E-2</v>
      </c>
      <c r="R23" s="196">
        <f>SmtRes!CX74</f>
        <v>0.1648</v>
      </c>
      <c r="S23" s="196">
        <f>SmtRes!CX78</f>
        <v>0.66600000000000004</v>
      </c>
      <c r="T23" s="196">
        <f>SmtRes!CX94</f>
        <v>0.77100000000000002</v>
      </c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  <c r="IG23" s="196"/>
      <c r="IH23" s="196"/>
      <c r="II23" s="196"/>
      <c r="IJ23" s="196"/>
      <c r="IK23" s="196"/>
      <c r="IL23" s="196"/>
      <c r="IM23" s="196"/>
      <c r="IN23" s="196"/>
      <c r="IO23" s="196"/>
      <c r="IP23" s="196"/>
      <c r="IQ23" s="196"/>
      <c r="IR23" s="196"/>
      <c r="IS23" s="196"/>
      <c r="IT23" s="196"/>
      <c r="IU23" s="196"/>
    </row>
    <row r="24" spans="1:255" s="74" customFormat="1" ht="24" x14ac:dyDescent="0.2">
      <c r="A24" s="204">
        <v>5</v>
      </c>
      <c r="B24" s="205" t="s">
        <v>333</v>
      </c>
      <c r="C24" s="205" t="s">
        <v>335</v>
      </c>
      <c r="D24" s="205" t="s">
        <v>288</v>
      </c>
      <c r="E24" s="206">
        <f>O24</f>
        <v>3.3E-4</v>
      </c>
      <c r="F24" s="207">
        <f>ROUND( 729.98 * 12.5, 2 )</f>
        <v>9124.75</v>
      </c>
      <c r="G24" s="207">
        <f>ROUND(E24*F24,2)</f>
        <v>3.01</v>
      </c>
      <c r="H24" s="208" t="s">
        <v>512</v>
      </c>
      <c r="I24" s="208" t="s">
        <v>491</v>
      </c>
      <c r="N24" s="196"/>
      <c r="O24" s="196">
        <f>SUM(P24:IV24)</f>
        <v>3.3E-4</v>
      </c>
      <c r="P24" s="196">
        <f>SmtRes!CX91</f>
        <v>3.3E-4</v>
      </c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  <c r="ID24" s="196"/>
      <c r="IE24" s="196"/>
      <c r="IF24" s="196"/>
      <c r="IG24" s="196"/>
      <c r="IH24" s="196"/>
      <c r="II24" s="196"/>
      <c r="IJ24" s="196"/>
      <c r="IK24" s="196"/>
      <c r="IL24" s="196"/>
      <c r="IM24" s="196"/>
      <c r="IN24" s="196"/>
      <c r="IO24" s="196"/>
      <c r="IP24" s="196"/>
      <c r="IQ24" s="196"/>
      <c r="IR24" s="196"/>
      <c r="IS24" s="196"/>
      <c r="IT24" s="196"/>
      <c r="IU24" s="196"/>
    </row>
    <row r="25" spans="1:255" s="74" customFormat="1" ht="24" x14ac:dyDescent="0.2">
      <c r="A25" s="204">
        <v>6</v>
      </c>
      <c r="B25" s="205" t="s">
        <v>240</v>
      </c>
      <c r="C25" s="205" t="s">
        <v>242</v>
      </c>
      <c r="D25" s="205" t="s">
        <v>243</v>
      </c>
      <c r="E25" s="206">
        <f>O25</f>
        <v>3.0000000000000001E-3</v>
      </c>
      <c r="F25" s="207">
        <f>ROUND( 180.77 * 12.5, 2 )</f>
        <v>2259.63</v>
      </c>
      <c r="G25" s="207">
        <f>ROUND(E25*F25,2)</f>
        <v>6.78</v>
      </c>
      <c r="H25" s="208" t="s">
        <v>492</v>
      </c>
      <c r="I25" s="208" t="s">
        <v>491</v>
      </c>
      <c r="N25" s="196"/>
      <c r="O25" s="196">
        <f>SUM(P25:IV25)</f>
        <v>3.0000000000000001E-3</v>
      </c>
      <c r="P25" s="196">
        <f>SmtRes!CX16</f>
        <v>3.0000000000000001E-3</v>
      </c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  <c r="ID25" s="196"/>
      <c r="IE25" s="196"/>
      <c r="IF25" s="196"/>
      <c r="IG25" s="196"/>
      <c r="IH25" s="196"/>
      <c r="II25" s="196"/>
      <c r="IJ25" s="196"/>
      <c r="IK25" s="196"/>
      <c r="IL25" s="196"/>
      <c r="IM25" s="196"/>
      <c r="IN25" s="196"/>
      <c r="IO25" s="196"/>
      <c r="IP25" s="196"/>
      <c r="IQ25" s="196"/>
      <c r="IR25" s="196"/>
      <c r="IS25" s="196"/>
      <c r="IT25" s="196"/>
      <c r="IU25" s="196"/>
    </row>
    <row r="26" spans="1:255" s="74" customFormat="1" ht="24" x14ac:dyDescent="0.2">
      <c r="A26" s="204">
        <v>7</v>
      </c>
      <c r="B26" s="205" t="s">
        <v>279</v>
      </c>
      <c r="C26" s="205" t="s">
        <v>281</v>
      </c>
      <c r="D26" s="205" t="s">
        <v>250</v>
      </c>
      <c r="E26" s="206">
        <f>O26</f>
        <v>2.4199999999999999E-2</v>
      </c>
      <c r="F26" s="207">
        <f>ROUND( 86 * 12.5, 2 )</f>
        <v>1075</v>
      </c>
      <c r="G26" s="207">
        <f>ROUND(E26*F26,2)</f>
        <v>26.02</v>
      </c>
      <c r="H26" s="208" t="s">
        <v>501</v>
      </c>
      <c r="I26" s="208" t="s">
        <v>491</v>
      </c>
      <c r="N26" s="196"/>
      <c r="O26" s="196">
        <f>SUM(P26:IV26)</f>
        <v>2.4199999999999999E-2</v>
      </c>
      <c r="P26" s="196">
        <f>SmtRes!CX42</f>
        <v>1.4E-2</v>
      </c>
      <c r="Q26" s="196">
        <f>SmtRes!CX63</f>
        <v>1.0200000000000001E-2</v>
      </c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  <c r="ID26" s="196"/>
      <c r="IE26" s="196"/>
      <c r="IF26" s="196"/>
      <c r="IG26" s="196"/>
      <c r="IH26" s="196"/>
      <c r="II26" s="196"/>
      <c r="IJ26" s="196"/>
      <c r="IK26" s="196"/>
      <c r="IL26" s="196"/>
      <c r="IM26" s="196"/>
      <c r="IN26" s="196"/>
      <c r="IO26" s="196"/>
      <c r="IP26" s="196"/>
      <c r="IQ26" s="196"/>
      <c r="IR26" s="196"/>
      <c r="IS26" s="196"/>
      <c r="IT26" s="196"/>
      <c r="IU26" s="196"/>
    </row>
    <row r="27" spans="1:255" s="74" customFormat="1" ht="24" x14ac:dyDescent="0.2">
      <c r="A27" s="204">
        <v>8</v>
      </c>
      <c r="B27" s="205" t="s">
        <v>244</v>
      </c>
      <c r="C27" s="205" t="s">
        <v>246</v>
      </c>
      <c r="D27" s="205" t="s">
        <v>239</v>
      </c>
      <c r="E27" s="206">
        <f>O27</f>
        <v>0.78</v>
      </c>
      <c r="F27" s="207">
        <f>ROUND( 9.61 * 12.5, 2 )</f>
        <v>120.13</v>
      </c>
      <c r="G27" s="207">
        <f>ROUND(E27*F27,2)</f>
        <v>93.7</v>
      </c>
      <c r="H27" s="208" t="s">
        <v>493</v>
      </c>
      <c r="I27" s="208" t="s">
        <v>491</v>
      </c>
      <c r="N27" s="196"/>
      <c r="O27" s="196">
        <f>SUM(P27:IV27)</f>
        <v>0.78</v>
      </c>
      <c r="P27" s="196">
        <f>SmtRes!CX17</f>
        <v>0.78</v>
      </c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  <c r="ID27" s="196"/>
      <c r="IE27" s="196"/>
      <c r="IF27" s="196"/>
      <c r="IG27" s="196"/>
      <c r="IH27" s="196"/>
      <c r="II27" s="196"/>
      <c r="IJ27" s="196"/>
      <c r="IK27" s="196"/>
      <c r="IL27" s="196"/>
      <c r="IM27" s="196"/>
      <c r="IN27" s="196"/>
      <c r="IO27" s="196"/>
      <c r="IP27" s="196"/>
      <c r="IQ27" s="196"/>
      <c r="IR27" s="196"/>
      <c r="IS27" s="196"/>
      <c r="IT27" s="196"/>
      <c r="IU27" s="196"/>
    </row>
    <row r="28" spans="1:255" s="74" customFormat="1" ht="36" x14ac:dyDescent="0.2">
      <c r="A28" s="204">
        <v>9</v>
      </c>
      <c r="B28" s="205" t="s">
        <v>285</v>
      </c>
      <c r="C28" s="205" t="s">
        <v>287</v>
      </c>
      <c r="D28" s="205" t="s">
        <v>288</v>
      </c>
      <c r="E28" s="206">
        <f>O28</f>
        <v>1E-3</v>
      </c>
      <c r="F28" s="207">
        <f>ROUND( 11500 * 12.5, 2 )</f>
        <v>143750</v>
      </c>
      <c r="G28" s="207">
        <f>ROUND(E28*F28,2)</f>
        <v>143.75</v>
      </c>
      <c r="H28" s="208" t="s">
        <v>503</v>
      </c>
      <c r="I28" s="208" t="s">
        <v>491</v>
      </c>
      <c r="N28" s="196"/>
      <c r="O28" s="196">
        <f>SUM(P28:IV28)</f>
        <v>1E-3</v>
      </c>
      <c r="P28" s="196">
        <f>SmtRes!CX44</f>
        <v>1E-3</v>
      </c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  <c r="ID28" s="196"/>
      <c r="IE28" s="196"/>
      <c r="IF28" s="196"/>
      <c r="IG28" s="196"/>
      <c r="IH28" s="196"/>
      <c r="II28" s="196"/>
      <c r="IJ28" s="196"/>
      <c r="IK28" s="196"/>
      <c r="IL28" s="196"/>
      <c r="IM28" s="196"/>
      <c r="IN28" s="196"/>
      <c r="IO28" s="196"/>
      <c r="IP28" s="196"/>
      <c r="IQ28" s="196"/>
      <c r="IR28" s="196"/>
      <c r="IS28" s="196"/>
      <c r="IT28" s="196"/>
      <c r="IU28" s="196"/>
    </row>
    <row r="29" spans="1:255" s="74" customFormat="1" ht="24" x14ac:dyDescent="0.2">
      <c r="A29" s="204">
        <v>10</v>
      </c>
      <c r="B29" s="205" t="s">
        <v>289</v>
      </c>
      <c r="C29" s="205" t="s">
        <v>291</v>
      </c>
      <c r="D29" s="205" t="s">
        <v>239</v>
      </c>
      <c r="E29" s="206">
        <f>O29</f>
        <v>3.5999999999999997E-2</v>
      </c>
      <c r="F29" s="207">
        <f>ROUND( 28.6 * 12.5, 2 )</f>
        <v>357.5</v>
      </c>
      <c r="G29" s="207">
        <f>ROUND(E29*F29,2)</f>
        <v>12.87</v>
      </c>
      <c r="H29" s="208" t="s">
        <v>504</v>
      </c>
      <c r="I29" s="208" t="s">
        <v>491</v>
      </c>
      <c r="N29" s="196"/>
      <c r="O29" s="196">
        <f>SUM(P29:IV29)</f>
        <v>3.5999999999999997E-2</v>
      </c>
      <c r="P29" s="196">
        <f>SmtRes!CX45</f>
        <v>3.5999999999999997E-2</v>
      </c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  <c r="ID29" s="196"/>
      <c r="IE29" s="196"/>
      <c r="IF29" s="196"/>
      <c r="IG29" s="196"/>
      <c r="IH29" s="196"/>
      <c r="II29" s="196"/>
      <c r="IJ29" s="196"/>
      <c r="IK29" s="196"/>
      <c r="IL29" s="196"/>
      <c r="IM29" s="196"/>
      <c r="IN29" s="196"/>
      <c r="IO29" s="196"/>
      <c r="IP29" s="196"/>
      <c r="IQ29" s="196"/>
      <c r="IR29" s="196"/>
      <c r="IS29" s="196"/>
      <c r="IT29" s="196"/>
      <c r="IU29" s="196"/>
    </row>
    <row r="30" spans="1:255" s="74" customFormat="1" ht="24" x14ac:dyDescent="0.2">
      <c r="A30" s="204">
        <v>11</v>
      </c>
      <c r="B30" s="205" t="s">
        <v>292</v>
      </c>
      <c r="C30" s="205" t="s">
        <v>294</v>
      </c>
      <c r="D30" s="205" t="s">
        <v>239</v>
      </c>
      <c r="E30" s="206">
        <f>O30</f>
        <v>6.0000000000000001E-3</v>
      </c>
      <c r="F30" s="207">
        <f>ROUND( 35.63 * 12.5, 2 )</f>
        <v>445.38</v>
      </c>
      <c r="G30" s="207">
        <f>ROUND(E30*F30,2)</f>
        <v>2.67</v>
      </c>
      <c r="H30" s="208" t="s">
        <v>505</v>
      </c>
      <c r="I30" s="208" t="s">
        <v>491</v>
      </c>
      <c r="N30" s="196"/>
      <c r="O30" s="196">
        <f>SUM(P30:IV30)</f>
        <v>6.0000000000000001E-3</v>
      </c>
      <c r="P30" s="196">
        <f>SmtRes!CX46</f>
        <v>6.0000000000000001E-3</v>
      </c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  <c r="ID30" s="196"/>
      <c r="IE30" s="196"/>
      <c r="IF30" s="196"/>
      <c r="IG30" s="196"/>
      <c r="IH30" s="196"/>
      <c r="II30" s="196"/>
      <c r="IJ30" s="196"/>
      <c r="IK30" s="196"/>
      <c r="IL30" s="196"/>
      <c r="IM30" s="196"/>
      <c r="IN30" s="196"/>
      <c r="IO30" s="196"/>
      <c r="IP30" s="196"/>
      <c r="IQ30" s="196"/>
      <c r="IR30" s="196"/>
      <c r="IS30" s="196"/>
      <c r="IT30" s="196"/>
      <c r="IU30" s="196"/>
    </row>
    <row r="31" spans="1:255" s="74" customFormat="1" ht="36" x14ac:dyDescent="0.2">
      <c r="A31" s="204">
        <v>12</v>
      </c>
      <c r="B31" s="205" t="s">
        <v>270</v>
      </c>
      <c r="C31" s="205" t="s">
        <v>272</v>
      </c>
      <c r="D31" s="205" t="s">
        <v>239</v>
      </c>
      <c r="E31" s="206">
        <f>O31</f>
        <v>1.3100000000000001E-2</v>
      </c>
      <c r="F31" s="207">
        <f>ROUND( 30.4 * 12.5, 2 )</f>
        <v>380</v>
      </c>
      <c r="G31" s="207">
        <f>ROUND(E31*F31,2)</f>
        <v>4.9800000000000004</v>
      </c>
      <c r="H31" s="208" t="s">
        <v>499</v>
      </c>
      <c r="I31" s="208" t="s">
        <v>491</v>
      </c>
      <c r="N31" s="196"/>
      <c r="O31" s="196">
        <f>SUM(P31:IV31)</f>
        <v>1.3100000000000001E-2</v>
      </c>
      <c r="P31" s="196">
        <f>SmtRes!CX39</f>
        <v>1.2E-2</v>
      </c>
      <c r="Q31" s="196">
        <f>SmtRes!CX62</f>
        <v>1.1000000000000001E-3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  <c r="ID31" s="196"/>
      <c r="IE31" s="196"/>
      <c r="IF31" s="196"/>
      <c r="IG31" s="196"/>
      <c r="IH31" s="196"/>
      <c r="II31" s="196"/>
      <c r="IJ31" s="196"/>
      <c r="IK31" s="196"/>
      <c r="IL31" s="196"/>
      <c r="IM31" s="196"/>
      <c r="IN31" s="196"/>
      <c r="IO31" s="196"/>
      <c r="IP31" s="196"/>
      <c r="IQ31" s="196"/>
      <c r="IR31" s="196"/>
      <c r="IS31" s="196"/>
      <c r="IT31" s="196"/>
      <c r="IU31" s="196"/>
    </row>
    <row r="32" spans="1:255" s="74" customFormat="1" ht="24" x14ac:dyDescent="0.2">
      <c r="A32" s="204">
        <v>13</v>
      </c>
      <c r="B32" s="205" t="s">
        <v>255</v>
      </c>
      <c r="C32" s="205" t="s">
        <v>257</v>
      </c>
      <c r="D32" s="205" t="s">
        <v>258</v>
      </c>
      <c r="E32" s="206">
        <f>O32</f>
        <v>0.3</v>
      </c>
      <c r="F32" s="207">
        <f>ROUND( 43.83 * 12.5, 2 )</f>
        <v>547.88</v>
      </c>
      <c r="G32" s="207">
        <f>ROUND(E32*F32,2)</f>
        <v>164.36</v>
      </c>
      <c r="H32" s="208" t="s">
        <v>496</v>
      </c>
      <c r="I32" s="208" t="s">
        <v>491</v>
      </c>
      <c r="N32" s="196"/>
      <c r="O32" s="196">
        <f>SUM(P32:IV32)</f>
        <v>0.3</v>
      </c>
      <c r="P32" s="196">
        <f>SmtRes!CX20</f>
        <v>0.3</v>
      </c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  <c r="ID32" s="196"/>
      <c r="IE32" s="196"/>
      <c r="IF32" s="196"/>
      <c r="IG32" s="196"/>
      <c r="IH32" s="196"/>
      <c r="II32" s="196"/>
      <c r="IJ32" s="196"/>
      <c r="IK32" s="196"/>
      <c r="IL32" s="196"/>
      <c r="IM32" s="196"/>
      <c r="IN32" s="196"/>
      <c r="IO32" s="196"/>
      <c r="IP32" s="196"/>
      <c r="IQ32" s="196"/>
      <c r="IR32" s="196"/>
      <c r="IS32" s="196"/>
      <c r="IT32" s="196"/>
      <c r="IU32" s="196"/>
    </row>
    <row r="33" spans="1:255" s="74" customFormat="1" ht="24" x14ac:dyDescent="0.2">
      <c r="A33" s="204">
        <v>14</v>
      </c>
      <c r="B33" s="205" t="s">
        <v>282</v>
      </c>
      <c r="C33" s="205" t="s">
        <v>284</v>
      </c>
      <c r="D33" s="205" t="s">
        <v>239</v>
      </c>
      <c r="E33" s="206">
        <f>O33</f>
        <v>1E-3</v>
      </c>
      <c r="F33" s="207">
        <f>ROUND( 133.05 * 12.5, 2 )</f>
        <v>1663.13</v>
      </c>
      <c r="G33" s="207">
        <f>ROUND(E33*F33,2)</f>
        <v>1.66</v>
      </c>
      <c r="H33" s="208" t="s">
        <v>502</v>
      </c>
      <c r="I33" s="208" t="s">
        <v>491</v>
      </c>
      <c r="N33" s="196"/>
      <c r="O33" s="196">
        <f>SUM(P33:IV33)</f>
        <v>1E-3</v>
      </c>
      <c r="P33" s="196">
        <f>SmtRes!CX43</f>
        <v>1E-3</v>
      </c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  <c r="IM33" s="196"/>
      <c r="IN33" s="196"/>
      <c r="IO33" s="196"/>
      <c r="IP33" s="196"/>
      <c r="IQ33" s="196"/>
      <c r="IR33" s="196"/>
      <c r="IS33" s="196"/>
      <c r="IT33" s="196"/>
      <c r="IU33" s="196"/>
    </row>
    <row r="34" spans="1:255" s="74" customFormat="1" ht="24" x14ac:dyDescent="0.2">
      <c r="A34" s="204">
        <v>15</v>
      </c>
      <c r="B34" s="205" t="s">
        <v>236</v>
      </c>
      <c r="C34" s="205" t="s">
        <v>238</v>
      </c>
      <c r="D34" s="205" t="s">
        <v>239</v>
      </c>
      <c r="E34" s="206">
        <f>O34</f>
        <v>0.38</v>
      </c>
      <c r="F34" s="207">
        <f>ROUND( 9.04 * 12.5, 2 )</f>
        <v>113</v>
      </c>
      <c r="G34" s="207">
        <f>ROUND(E34*F34,2)</f>
        <v>42.94</v>
      </c>
      <c r="H34" s="208" t="s">
        <v>490</v>
      </c>
      <c r="I34" s="208" t="s">
        <v>491</v>
      </c>
      <c r="N34" s="196"/>
      <c r="O34" s="196">
        <f>SUM(P34:IV34)</f>
        <v>0.38</v>
      </c>
      <c r="P34" s="196">
        <f>SmtRes!CX15</f>
        <v>0.38</v>
      </c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  <c r="ID34" s="196"/>
      <c r="IE34" s="196"/>
      <c r="IF34" s="196"/>
      <c r="IG34" s="196"/>
      <c r="IH34" s="196"/>
      <c r="II34" s="196"/>
      <c r="IJ34" s="196"/>
      <c r="IK34" s="196"/>
      <c r="IL34" s="196"/>
      <c r="IM34" s="196"/>
      <c r="IN34" s="196"/>
      <c r="IO34" s="196"/>
      <c r="IP34" s="196"/>
      <c r="IQ34" s="196"/>
      <c r="IR34" s="196"/>
      <c r="IS34" s="196"/>
      <c r="IT34" s="196"/>
      <c r="IU34" s="196"/>
    </row>
    <row r="35" spans="1:255" s="74" customFormat="1" ht="24" x14ac:dyDescent="0.2">
      <c r="A35" s="204">
        <v>16</v>
      </c>
      <c r="B35" s="205" t="s">
        <v>295</v>
      </c>
      <c r="C35" s="205" t="s">
        <v>297</v>
      </c>
      <c r="D35" s="205" t="s">
        <v>258</v>
      </c>
      <c r="E35" s="206">
        <f>O35</f>
        <v>0.1</v>
      </c>
      <c r="F35" s="207">
        <f>ROUND( 39 * 12.5, 2 )</f>
        <v>487.5</v>
      </c>
      <c r="G35" s="207">
        <f>ROUND(E35*F35,2)</f>
        <v>48.75</v>
      </c>
      <c r="H35" s="208" t="s">
        <v>506</v>
      </c>
      <c r="I35" s="208" t="s">
        <v>491</v>
      </c>
      <c r="N35" s="196"/>
      <c r="O35" s="196">
        <f>SUM(P35:IV35)</f>
        <v>0.1</v>
      </c>
      <c r="P35" s="196">
        <f>SmtRes!CX47</f>
        <v>0.1</v>
      </c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  <c r="ID35" s="196"/>
      <c r="IE35" s="196"/>
      <c r="IF35" s="196"/>
      <c r="IG35" s="196"/>
      <c r="IH35" s="196"/>
      <c r="II35" s="196"/>
      <c r="IJ35" s="196"/>
      <c r="IK35" s="196"/>
      <c r="IL35" s="196"/>
      <c r="IM35" s="196"/>
      <c r="IN35" s="196"/>
      <c r="IO35" s="196"/>
      <c r="IP35" s="196"/>
      <c r="IQ35" s="196"/>
      <c r="IR35" s="196"/>
      <c r="IS35" s="196"/>
      <c r="IT35" s="196"/>
      <c r="IU35" s="196"/>
    </row>
    <row r="36" spans="1:255" s="74" customFormat="1" ht="24" x14ac:dyDescent="0.2">
      <c r="A36" s="204">
        <v>17</v>
      </c>
      <c r="B36" s="205" t="s">
        <v>247</v>
      </c>
      <c r="C36" s="205" t="s">
        <v>249</v>
      </c>
      <c r="D36" s="205" t="s">
        <v>250</v>
      </c>
      <c r="E36" s="206">
        <f>O36</f>
        <v>0.02</v>
      </c>
      <c r="F36" s="207">
        <f>ROUND( 409 * 12.5, 2 )</f>
        <v>5112.5</v>
      </c>
      <c r="G36" s="207">
        <f>ROUND(E36*F36,2)</f>
        <v>102.25</v>
      </c>
      <c r="H36" s="208" t="s">
        <v>494</v>
      </c>
      <c r="I36" s="208" t="s">
        <v>491</v>
      </c>
      <c r="N36" s="196"/>
      <c r="O36" s="196">
        <f>SUM(P36:IV36)</f>
        <v>0.02</v>
      </c>
      <c r="P36" s="196">
        <f>SmtRes!CX18</f>
        <v>0.02</v>
      </c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  <c r="IU36" s="196"/>
    </row>
    <row r="37" spans="1:255" s="74" customFormat="1" ht="24" x14ac:dyDescent="0.2">
      <c r="A37" s="204">
        <v>18</v>
      </c>
      <c r="B37" s="205" t="s">
        <v>336</v>
      </c>
      <c r="C37" s="205" t="s">
        <v>338</v>
      </c>
      <c r="D37" s="205" t="s">
        <v>288</v>
      </c>
      <c r="E37" s="206">
        <f>O37</f>
        <v>3.6000000000000001E-5</v>
      </c>
      <c r="F37" s="207">
        <f>ROUND( 10200 * 12.5, 2 )</f>
        <v>127500</v>
      </c>
      <c r="G37" s="207">
        <f>ROUND(E37*F37,2)</f>
        <v>4.59</v>
      </c>
      <c r="H37" s="208" t="s">
        <v>513</v>
      </c>
      <c r="I37" s="208" t="s">
        <v>491</v>
      </c>
      <c r="N37" s="196"/>
      <c r="O37" s="196">
        <f>SUM(P37:IV37)</f>
        <v>3.6000000000000001E-5</v>
      </c>
      <c r="P37" s="196">
        <f>SmtRes!CX92</f>
        <v>3.6000000000000001E-5</v>
      </c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  <c r="IR37" s="196"/>
      <c r="IS37" s="196"/>
      <c r="IT37" s="196"/>
      <c r="IU37" s="196"/>
    </row>
    <row r="38" spans="1:255" s="74" customFormat="1" ht="24" x14ac:dyDescent="0.2">
      <c r="A38" s="204">
        <v>19</v>
      </c>
      <c r="B38" s="205" t="s">
        <v>317</v>
      </c>
      <c r="C38" s="205" t="s">
        <v>319</v>
      </c>
      <c r="D38" s="205" t="s">
        <v>239</v>
      </c>
      <c r="E38" s="206">
        <f>O38</f>
        <v>1.6E-2</v>
      </c>
      <c r="F38" s="207">
        <f>ROUND( 23.09 * 12.5, 2 )</f>
        <v>288.63</v>
      </c>
      <c r="G38" s="207">
        <f>ROUND(E38*F38,2)</f>
        <v>4.62</v>
      </c>
      <c r="H38" s="208" t="s">
        <v>510</v>
      </c>
      <c r="I38" s="208" t="s">
        <v>491</v>
      </c>
      <c r="N38" s="196"/>
      <c r="O38" s="196">
        <f>SUM(P38:IV38)</f>
        <v>1.6E-2</v>
      </c>
      <c r="P38" s="196">
        <f>SmtRes!CX72</f>
        <v>1.6E-2</v>
      </c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  <c r="ID38" s="196"/>
      <c r="IE38" s="196"/>
      <c r="IF38" s="196"/>
      <c r="IG38" s="196"/>
      <c r="IH38" s="196"/>
      <c r="II38" s="196"/>
      <c r="IJ38" s="196"/>
      <c r="IK38" s="196"/>
      <c r="IL38" s="196"/>
      <c r="IM38" s="196"/>
      <c r="IN38" s="196"/>
      <c r="IO38" s="196"/>
      <c r="IP38" s="196"/>
      <c r="IQ38" s="196"/>
      <c r="IR38" s="196"/>
      <c r="IS38" s="196"/>
      <c r="IT38" s="196"/>
      <c r="IU38" s="196"/>
    </row>
    <row r="39" spans="1:255" s="74" customFormat="1" ht="24" x14ac:dyDescent="0.2">
      <c r="A39" s="204">
        <v>20</v>
      </c>
      <c r="B39" s="205" t="s">
        <v>339</v>
      </c>
      <c r="C39" s="205" t="s">
        <v>341</v>
      </c>
      <c r="D39" s="205" t="s">
        <v>250</v>
      </c>
      <c r="E39" s="206">
        <f>O39</f>
        <v>0.31200000000000006</v>
      </c>
      <c r="F39" s="207">
        <f>ROUND( 155.74 * 12.5, 2 )</f>
        <v>1946.75</v>
      </c>
      <c r="G39" s="207">
        <f>ROUND(E39*F39,2)</f>
        <v>607.39</v>
      </c>
      <c r="H39" s="208" t="s">
        <v>514</v>
      </c>
      <c r="I39" s="208" t="s">
        <v>491</v>
      </c>
      <c r="N39" s="196"/>
      <c r="O39" s="196">
        <f>SUM(P39:IV39)</f>
        <v>0.31200000000000006</v>
      </c>
      <c r="P39" s="196">
        <f>SmtRes!CX93</f>
        <v>0.31200000000000006</v>
      </c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  <c r="ID39" s="196"/>
      <c r="IE39" s="196"/>
      <c r="IF39" s="196"/>
      <c r="IG39" s="196"/>
      <c r="IH39" s="196"/>
      <c r="II39" s="196"/>
      <c r="IJ39" s="196"/>
      <c r="IK39" s="196"/>
      <c r="IL39" s="196"/>
      <c r="IM39" s="196"/>
      <c r="IN39" s="196"/>
      <c r="IO39" s="196"/>
      <c r="IP39" s="196"/>
      <c r="IQ39" s="196"/>
      <c r="IR39" s="196"/>
      <c r="IS39" s="196"/>
      <c r="IT39" s="196"/>
      <c r="IU39" s="196"/>
    </row>
    <row r="40" spans="1:255" s="74" customFormat="1" ht="36" x14ac:dyDescent="0.2">
      <c r="A40" s="204">
        <v>21</v>
      </c>
      <c r="B40" s="205" t="s">
        <v>251</v>
      </c>
      <c r="C40" s="205" t="s">
        <v>253</v>
      </c>
      <c r="D40" s="205" t="s">
        <v>254</v>
      </c>
      <c r="E40" s="206">
        <f>O40</f>
        <v>11</v>
      </c>
      <c r="F40" s="207">
        <f>ROUND( 14.5 * 12.5, 2 )</f>
        <v>181.25</v>
      </c>
      <c r="G40" s="207">
        <f>ROUND(E40*F40,2)</f>
        <v>1993.75</v>
      </c>
      <c r="H40" s="208" t="s">
        <v>495</v>
      </c>
      <c r="I40" s="208" t="s">
        <v>491</v>
      </c>
      <c r="N40" s="196"/>
      <c r="O40" s="196">
        <f>SUM(P40:IV40)</f>
        <v>11</v>
      </c>
      <c r="P40" s="196">
        <f>SmtRes!CX19</f>
        <v>11</v>
      </c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  <c r="ID40" s="196"/>
      <c r="IE40" s="196"/>
      <c r="IF40" s="196"/>
      <c r="IG40" s="196"/>
      <c r="IH40" s="196"/>
      <c r="II40" s="196"/>
      <c r="IJ40" s="196"/>
      <c r="IK40" s="196"/>
      <c r="IL40" s="196"/>
      <c r="IM40" s="196"/>
      <c r="IN40" s="196"/>
      <c r="IO40" s="196"/>
      <c r="IP40" s="196"/>
      <c r="IQ40" s="196"/>
      <c r="IR40" s="196"/>
      <c r="IS40" s="196"/>
      <c r="IT40" s="196"/>
      <c r="IU40" s="196"/>
    </row>
    <row r="41" spans="1:255" s="74" customFormat="1" ht="24" x14ac:dyDescent="0.2">
      <c r="A41" s="204">
        <v>22</v>
      </c>
      <c r="B41" s="205" t="s">
        <v>267</v>
      </c>
      <c r="C41" s="205" t="s">
        <v>269</v>
      </c>
      <c r="D41" s="205" t="s">
        <v>239</v>
      </c>
      <c r="E41" s="206">
        <f>O41</f>
        <v>1E-3</v>
      </c>
      <c r="F41" s="207">
        <f>ROUND( 11.5 * 12.5, 2 )</f>
        <v>143.75</v>
      </c>
      <c r="G41" s="207">
        <f>ROUND(E41*F41,2)</f>
        <v>0.14000000000000001</v>
      </c>
      <c r="H41" s="208" t="s">
        <v>498</v>
      </c>
      <c r="I41" s="208" t="s">
        <v>491</v>
      </c>
      <c r="N41" s="196"/>
      <c r="O41" s="196">
        <f>SUM(P41:IV41)</f>
        <v>1E-3</v>
      </c>
      <c r="P41" s="196">
        <f>SmtRes!CX38</f>
        <v>1E-3</v>
      </c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  <c r="ID41" s="196"/>
      <c r="IE41" s="196"/>
      <c r="IF41" s="196"/>
      <c r="IG41" s="196"/>
      <c r="IH41" s="196"/>
      <c r="II41" s="196"/>
      <c r="IJ41" s="196"/>
      <c r="IK41" s="196"/>
      <c r="IL41" s="196"/>
      <c r="IM41" s="196"/>
      <c r="IN41" s="196"/>
      <c r="IO41" s="196"/>
      <c r="IP41" s="196"/>
      <c r="IQ41" s="196"/>
      <c r="IR41" s="196"/>
      <c r="IS41" s="196"/>
      <c r="IT41" s="196"/>
      <c r="IU41" s="196"/>
    </row>
    <row r="42" spans="1:255" s="74" customFormat="1" ht="24" x14ac:dyDescent="0.2">
      <c r="A42" s="204">
        <v>23</v>
      </c>
      <c r="B42" s="205" t="s">
        <v>309</v>
      </c>
      <c r="C42" s="205" t="s">
        <v>311</v>
      </c>
      <c r="D42" s="205" t="s">
        <v>288</v>
      </c>
      <c r="E42" s="206">
        <f>O42</f>
        <v>1.6000000000000001E-6</v>
      </c>
      <c r="F42" s="207">
        <f>ROUND( 29800 * 12.5, 2 )</f>
        <v>372500</v>
      </c>
      <c r="G42" s="207">
        <f>ROUND(E42*F42,2)</f>
        <v>0.6</v>
      </c>
      <c r="H42" s="208" t="s">
        <v>508</v>
      </c>
      <c r="I42" s="208" t="s">
        <v>491</v>
      </c>
      <c r="N42" s="196"/>
      <c r="O42" s="196">
        <f>SUM(P42:IV42)</f>
        <v>1.6000000000000001E-6</v>
      </c>
      <c r="P42" s="196">
        <f>SmtRes!CX64</f>
        <v>1.6000000000000001E-6</v>
      </c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  <c r="ID42" s="196"/>
      <c r="IE42" s="196"/>
      <c r="IF42" s="196"/>
      <c r="IG42" s="196"/>
      <c r="IH42" s="196"/>
      <c r="II42" s="196"/>
      <c r="IJ42" s="196"/>
      <c r="IK42" s="196"/>
      <c r="IL42" s="196"/>
      <c r="IM42" s="196"/>
      <c r="IN42" s="196"/>
      <c r="IO42" s="196"/>
      <c r="IP42" s="196"/>
      <c r="IQ42" s="196"/>
      <c r="IR42" s="196"/>
      <c r="IS42" s="196"/>
      <c r="IT42" s="196"/>
      <c r="IU42" s="196"/>
    </row>
    <row r="43" spans="1:255" s="74" customFormat="1" ht="24" x14ac:dyDescent="0.2">
      <c r="A43" s="204">
        <v>24</v>
      </c>
      <c r="B43" s="205" t="s">
        <v>312</v>
      </c>
      <c r="C43" s="205" t="s">
        <v>314</v>
      </c>
      <c r="D43" s="205" t="s">
        <v>288</v>
      </c>
      <c r="E43" s="206">
        <f>O43</f>
        <v>2.9999999999999997E-6</v>
      </c>
      <c r="F43" s="207">
        <f>ROUND( 12430 * 12.5, 2 )</f>
        <v>155375</v>
      </c>
      <c r="G43" s="207">
        <f>ROUND(E43*F43,2)</f>
        <v>0.47</v>
      </c>
      <c r="H43" s="208" t="s">
        <v>509</v>
      </c>
      <c r="I43" s="208" t="s">
        <v>491</v>
      </c>
      <c r="N43" s="196"/>
      <c r="O43" s="196">
        <f>SUM(P43:IV43)</f>
        <v>2.9999999999999997E-6</v>
      </c>
      <c r="P43" s="196">
        <f>SmtRes!CX65</f>
        <v>2.9999999999999997E-6</v>
      </c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  <c r="ID43" s="196"/>
      <c r="IE43" s="196"/>
      <c r="IF43" s="196"/>
      <c r="IG43" s="196"/>
      <c r="IH43" s="196"/>
      <c r="II43" s="196"/>
      <c r="IJ43" s="196"/>
      <c r="IK43" s="196"/>
      <c r="IL43" s="196"/>
      <c r="IM43" s="196"/>
      <c r="IN43" s="196"/>
      <c r="IO43" s="196"/>
      <c r="IP43" s="196"/>
      <c r="IQ43" s="196"/>
      <c r="IR43" s="196"/>
      <c r="IS43" s="196"/>
      <c r="IT43" s="196"/>
      <c r="IU43" s="196"/>
    </row>
    <row r="44" spans="1:255" s="74" customFormat="1" ht="24" x14ac:dyDescent="0.2">
      <c r="A44" s="204">
        <v>25</v>
      </c>
      <c r="B44" s="205" t="s">
        <v>330</v>
      </c>
      <c r="C44" s="205" t="s">
        <v>332</v>
      </c>
      <c r="D44" s="205" t="s">
        <v>288</v>
      </c>
      <c r="E44" s="206">
        <f>O44</f>
        <v>1.3899999999999999E-4</v>
      </c>
      <c r="F44" s="207">
        <f>ROUND( 12430 * 12.5, 2 )</f>
        <v>155375</v>
      </c>
      <c r="G44" s="207">
        <f>ROUND(E44*F44,2)</f>
        <v>21.6</v>
      </c>
      <c r="H44" s="208" t="s">
        <v>509</v>
      </c>
      <c r="I44" s="208" t="s">
        <v>491</v>
      </c>
      <c r="N44" s="196"/>
      <c r="O44" s="196">
        <f>SUM(P44:IV44)</f>
        <v>1.3899999999999999E-4</v>
      </c>
      <c r="P44" s="196">
        <f>SmtRes!CX90</f>
        <v>1.3899999999999999E-4</v>
      </c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  <c r="ID44" s="196"/>
      <c r="IE44" s="196"/>
      <c r="IF44" s="196"/>
      <c r="IG44" s="196"/>
      <c r="IH44" s="196"/>
      <c r="II44" s="196"/>
      <c r="IJ44" s="196"/>
      <c r="IK44" s="196"/>
      <c r="IL44" s="196"/>
      <c r="IM44" s="196"/>
      <c r="IN44" s="196"/>
      <c r="IO44" s="196"/>
      <c r="IP44" s="196"/>
      <c r="IQ44" s="196"/>
      <c r="IR44" s="196"/>
      <c r="IS44" s="196"/>
      <c r="IT44" s="196"/>
      <c r="IU44" s="196"/>
    </row>
    <row r="45" spans="1:255" s="74" customFormat="1" ht="24" x14ac:dyDescent="0.2">
      <c r="A45" s="204">
        <v>26</v>
      </c>
      <c r="B45" s="205" t="s">
        <v>273</v>
      </c>
      <c r="C45" s="205" t="s">
        <v>275</v>
      </c>
      <c r="D45" s="205" t="s">
        <v>239</v>
      </c>
      <c r="E45" s="206">
        <f>O45</f>
        <v>7.0000000000000007E-2</v>
      </c>
      <c r="F45" s="207">
        <f>ROUND( 10.57 * 12.5, 2 )</f>
        <v>132.13</v>
      </c>
      <c r="G45" s="207">
        <f>ROUND(E45*F45,2)</f>
        <v>9.25</v>
      </c>
      <c r="H45" s="208" t="s">
        <v>500</v>
      </c>
      <c r="I45" s="208" t="s">
        <v>491</v>
      </c>
      <c r="N45" s="196"/>
      <c r="O45" s="196">
        <f>SUM(P45:IV45)</f>
        <v>7.0000000000000007E-2</v>
      </c>
      <c r="P45" s="196">
        <f>SmtRes!CX40</f>
        <v>7.0000000000000007E-2</v>
      </c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6"/>
      <c r="GE45" s="196"/>
      <c r="GF45" s="196"/>
      <c r="GG45" s="196"/>
      <c r="GH45" s="196"/>
      <c r="GI45" s="196"/>
      <c r="GJ45" s="196"/>
      <c r="GK45" s="196"/>
      <c r="GL45" s="196"/>
      <c r="GM45" s="196"/>
      <c r="GN45" s="196"/>
      <c r="GO45" s="196"/>
      <c r="GP45" s="196"/>
      <c r="GQ45" s="196"/>
      <c r="GR45" s="196"/>
      <c r="GS45" s="196"/>
      <c r="GT45" s="196"/>
      <c r="GU45" s="196"/>
      <c r="GV45" s="196"/>
      <c r="GW45" s="196"/>
      <c r="GX45" s="196"/>
      <c r="GY45" s="196"/>
      <c r="GZ45" s="196"/>
      <c r="HA45" s="196"/>
      <c r="HB45" s="196"/>
      <c r="HC45" s="196"/>
      <c r="HD45" s="196"/>
      <c r="HE45" s="196"/>
      <c r="HF45" s="196"/>
      <c r="HG45" s="196"/>
      <c r="HH45" s="196"/>
      <c r="HI45" s="196"/>
      <c r="HJ45" s="196"/>
      <c r="HK45" s="196"/>
      <c r="HL45" s="196"/>
      <c r="HM45" s="196"/>
      <c r="HN45" s="196"/>
      <c r="HO45" s="196"/>
      <c r="HP45" s="196"/>
      <c r="HQ45" s="196"/>
      <c r="HR45" s="196"/>
      <c r="HS45" s="196"/>
      <c r="HT45" s="196"/>
      <c r="HU45" s="196"/>
      <c r="HV45" s="196"/>
      <c r="HW45" s="196"/>
      <c r="HX45" s="196"/>
      <c r="HY45" s="196"/>
      <c r="HZ45" s="196"/>
      <c r="IA45" s="196"/>
      <c r="IB45" s="196"/>
      <c r="IC45" s="196"/>
      <c r="ID45" s="196"/>
      <c r="IE45" s="196"/>
      <c r="IF45" s="196"/>
      <c r="IG45" s="196"/>
      <c r="IH45" s="196"/>
      <c r="II45" s="196"/>
      <c r="IJ45" s="196"/>
      <c r="IK45" s="196"/>
      <c r="IL45" s="196"/>
      <c r="IM45" s="196"/>
      <c r="IN45" s="196"/>
      <c r="IO45" s="196"/>
      <c r="IP45" s="196"/>
      <c r="IQ45" s="196"/>
      <c r="IR45" s="196"/>
      <c r="IS45" s="196"/>
      <c r="IT45" s="196"/>
      <c r="IU45" s="196"/>
    </row>
    <row r="46" spans="1:255" x14ac:dyDescent="0.2">
      <c r="A46" s="200"/>
      <c r="B46" s="200"/>
      <c r="C46" s="201" t="s">
        <v>515</v>
      </c>
      <c r="D46" s="200"/>
      <c r="E46" s="200"/>
      <c r="F46" s="200"/>
      <c r="G46" s="202">
        <f>ROUND(SUM(G20:G45),2)</f>
        <v>3337.38</v>
      </c>
      <c r="H46" s="200"/>
      <c r="I46" s="200"/>
      <c r="J46" s="26"/>
      <c r="K46" s="26"/>
      <c r="L46" s="26"/>
      <c r="M46" s="199">
        <f>G46</f>
        <v>3337.38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</row>
    <row r="47" spans="1:255" x14ac:dyDescent="0.2">
      <c r="A47" s="203"/>
      <c r="B47" s="203" t="s">
        <v>516</v>
      </c>
      <c r="C47" s="203"/>
      <c r="D47" s="203"/>
      <c r="E47" s="203"/>
      <c r="F47" s="203"/>
      <c r="G47" s="200"/>
      <c r="H47" s="200"/>
      <c r="I47" s="200"/>
    </row>
    <row r="48" spans="1:255" s="74" customFormat="1" ht="12" x14ac:dyDescent="0.2">
      <c r="A48" s="204">
        <v>27</v>
      </c>
      <c r="B48" s="205" t="s">
        <v>72</v>
      </c>
      <c r="C48" s="205" t="s">
        <v>105</v>
      </c>
      <c r="D48" s="205" t="s">
        <v>32</v>
      </c>
      <c r="E48" s="206">
        <f>O48</f>
        <v>1</v>
      </c>
      <c r="F48" s="207">
        <f>ROUND( 44.73, 2 )</f>
        <v>44.73</v>
      </c>
      <c r="G48" s="207">
        <f>ROUND(E48*F48,2)</f>
        <v>44.73</v>
      </c>
      <c r="H48" s="209" t="s">
        <v>517</v>
      </c>
      <c r="I48" s="209" t="s">
        <v>491</v>
      </c>
      <c r="N48" s="196"/>
      <c r="O48" s="196">
        <f>SUM(P48:IV48)</f>
        <v>1</v>
      </c>
      <c r="P48" s="196">
        <f>Source!I63</f>
        <v>1</v>
      </c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  <c r="GN48" s="196"/>
      <c r="GO48" s="196"/>
      <c r="GP48" s="196"/>
      <c r="GQ48" s="196"/>
      <c r="GR48" s="196"/>
      <c r="GS48" s="196"/>
      <c r="GT48" s="196"/>
      <c r="GU48" s="196"/>
      <c r="GV48" s="196"/>
      <c r="GW48" s="196"/>
      <c r="GX48" s="196"/>
      <c r="GY48" s="196"/>
      <c r="GZ48" s="196"/>
      <c r="HA48" s="196"/>
      <c r="HB48" s="196"/>
      <c r="HC48" s="196"/>
      <c r="HD48" s="196"/>
      <c r="HE48" s="196"/>
      <c r="HF48" s="196"/>
      <c r="HG48" s="196"/>
      <c r="HH48" s="196"/>
      <c r="HI48" s="196"/>
      <c r="HJ48" s="196"/>
      <c r="HK48" s="196"/>
      <c r="HL48" s="196"/>
      <c r="HM48" s="196"/>
      <c r="HN48" s="196"/>
      <c r="HO48" s="196"/>
      <c r="HP48" s="196"/>
      <c r="HQ48" s="196"/>
      <c r="HR48" s="196"/>
      <c r="HS48" s="196"/>
      <c r="HT48" s="196"/>
      <c r="HU48" s="196"/>
      <c r="HV48" s="196"/>
      <c r="HW48" s="196"/>
      <c r="HX48" s="196"/>
      <c r="HY48" s="196"/>
      <c r="HZ48" s="196"/>
      <c r="IA48" s="196"/>
      <c r="IB48" s="196"/>
      <c r="IC48" s="196"/>
      <c r="ID48" s="196"/>
      <c r="IE48" s="196"/>
      <c r="IF48" s="196"/>
      <c r="IG48" s="196"/>
      <c r="IH48" s="196"/>
      <c r="II48" s="196"/>
      <c r="IJ48" s="196"/>
      <c r="IK48" s="196"/>
      <c r="IL48" s="196"/>
      <c r="IM48" s="196"/>
      <c r="IN48" s="196"/>
      <c r="IO48" s="196"/>
      <c r="IP48" s="196"/>
      <c r="IQ48" s="196"/>
      <c r="IR48" s="196"/>
      <c r="IS48" s="196"/>
      <c r="IT48" s="196"/>
      <c r="IU48" s="196"/>
    </row>
    <row r="49" spans="1:255" s="74" customFormat="1" ht="12" x14ac:dyDescent="0.2">
      <c r="A49" s="204">
        <v>28</v>
      </c>
      <c r="B49" s="205" t="s">
        <v>72</v>
      </c>
      <c r="C49" s="205" t="s">
        <v>85</v>
      </c>
      <c r="D49" s="205" t="s">
        <v>32</v>
      </c>
      <c r="E49" s="206">
        <f>O49</f>
        <v>2</v>
      </c>
      <c r="F49" s="207">
        <f>ROUND( 4.29, 2 )</f>
        <v>4.29</v>
      </c>
      <c r="G49" s="207">
        <f>ROUND(E49*F49,2)</f>
        <v>8.58</v>
      </c>
      <c r="H49" s="209" t="s">
        <v>517</v>
      </c>
      <c r="I49" s="209" t="s">
        <v>491</v>
      </c>
      <c r="N49" s="196"/>
      <c r="O49" s="196">
        <f>SUM(P49:IV49)</f>
        <v>2</v>
      </c>
      <c r="P49" s="196">
        <f>Source!I49</f>
        <v>2</v>
      </c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  <c r="ID49" s="196"/>
      <c r="IE49" s="196"/>
      <c r="IF49" s="196"/>
      <c r="IG49" s="196"/>
      <c r="IH49" s="196"/>
      <c r="II49" s="196"/>
      <c r="IJ49" s="196"/>
      <c r="IK49" s="196"/>
      <c r="IL49" s="196"/>
      <c r="IM49" s="196"/>
      <c r="IN49" s="196"/>
      <c r="IO49" s="196"/>
      <c r="IP49" s="196"/>
      <c r="IQ49" s="196"/>
      <c r="IR49" s="196"/>
      <c r="IS49" s="196"/>
      <c r="IT49" s="196"/>
      <c r="IU49" s="196"/>
    </row>
    <row r="50" spans="1:255" s="74" customFormat="1" ht="12" x14ac:dyDescent="0.2">
      <c r="A50" s="204">
        <v>29</v>
      </c>
      <c r="B50" s="205" t="s">
        <v>72</v>
      </c>
      <c r="C50" s="205" t="s">
        <v>99</v>
      </c>
      <c r="D50" s="205" t="s">
        <v>32</v>
      </c>
      <c r="E50" s="206">
        <f>O50</f>
        <v>1</v>
      </c>
      <c r="F50" s="207">
        <f>ROUND( 132.8, 2 )</f>
        <v>132.80000000000001</v>
      </c>
      <c r="G50" s="207">
        <f>ROUND(E50*F50,2)</f>
        <v>132.80000000000001</v>
      </c>
      <c r="H50" s="209" t="s">
        <v>517</v>
      </c>
      <c r="I50" s="209" t="s">
        <v>491</v>
      </c>
      <c r="N50" s="196"/>
      <c r="O50" s="196">
        <f>SUM(P50:IV50)</f>
        <v>1</v>
      </c>
      <c r="P50" s="196">
        <f>Source!I59</f>
        <v>1</v>
      </c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  <c r="HI50" s="196"/>
      <c r="HJ50" s="196"/>
      <c r="HK50" s="196"/>
      <c r="HL50" s="196"/>
      <c r="HM50" s="196"/>
      <c r="HN50" s="196"/>
      <c r="HO50" s="196"/>
      <c r="HP50" s="196"/>
      <c r="HQ50" s="196"/>
      <c r="HR50" s="196"/>
      <c r="HS50" s="196"/>
      <c r="HT50" s="196"/>
      <c r="HU50" s="196"/>
      <c r="HV50" s="196"/>
      <c r="HW50" s="196"/>
      <c r="HX50" s="196"/>
      <c r="HY50" s="196"/>
      <c r="HZ50" s="196"/>
      <c r="IA50" s="196"/>
      <c r="IB50" s="196"/>
      <c r="IC50" s="196"/>
      <c r="ID50" s="196"/>
      <c r="IE50" s="196"/>
      <c r="IF50" s="196"/>
      <c r="IG50" s="196"/>
      <c r="IH50" s="196"/>
      <c r="II50" s="196"/>
      <c r="IJ50" s="196"/>
      <c r="IK50" s="196"/>
      <c r="IL50" s="196"/>
      <c r="IM50" s="196"/>
      <c r="IN50" s="196"/>
      <c r="IO50" s="196"/>
      <c r="IP50" s="196"/>
      <c r="IQ50" s="196"/>
      <c r="IR50" s="196"/>
      <c r="IS50" s="196"/>
      <c r="IT50" s="196"/>
      <c r="IU50" s="196"/>
    </row>
    <row r="51" spans="1:255" s="74" customFormat="1" ht="12" x14ac:dyDescent="0.2">
      <c r="A51" s="204">
        <v>30</v>
      </c>
      <c r="B51" s="205" t="s">
        <v>72</v>
      </c>
      <c r="C51" s="205" t="s">
        <v>79</v>
      </c>
      <c r="D51" s="205" t="s">
        <v>32</v>
      </c>
      <c r="E51" s="206">
        <f>O51</f>
        <v>1</v>
      </c>
      <c r="F51" s="207">
        <f>ROUND( 106449.98, 2 )</f>
        <v>106449.98</v>
      </c>
      <c r="G51" s="207">
        <f>ROUND(E51*F51,2)</f>
        <v>106449.98</v>
      </c>
      <c r="H51" s="209" t="s">
        <v>517</v>
      </c>
      <c r="I51" s="209" t="s">
        <v>491</v>
      </c>
      <c r="N51" s="196"/>
      <c r="O51" s="196">
        <f>SUM(P51:IV51)</f>
        <v>1</v>
      </c>
      <c r="P51" s="196">
        <f>Source!I45</f>
        <v>1</v>
      </c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  <c r="HA51" s="196"/>
      <c r="HB51" s="196"/>
      <c r="HC51" s="196"/>
      <c r="HD51" s="196"/>
      <c r="HE51" s="196"/>
      <c r="HF51" s="196"/>
      <c r="HG51" s="196"/>
      <c r="HH51" s="196"/>
      <c r="HI51" s="196"/>
      <c r="HJ51" s="196"/>
      <c r="HK51" s="196"/>
      <c r="HL51" s="196"/>
      <c r="HM51" s="196"/>
      <c r="HN51" s="196"/>
      <c r="HO51" s="196"/>
      <c r="HP51" s="196"/>
      <c r="HQ51" s="196"/>
      <c r="HR51" s="196"/>
      <c r="HS51" s="196"/>
      <c r="HT51" s="196"/>
      <c r="HU51" s="196"/>
      <c r="HV51" s="196"/>
      <c r="HW51" s="196"/>
      <c r="HX51" s="196"/>
      <c r="HY51" s="196"/>
      <c r="HZ51" s="196"/>
      <c r="IA51" s="196"/>
      <c r="IB51" s="196"/>
      <c r="IC51" s="196"/>
      <c r="ID51" s="196"/>
      <c r="IE51" s="196"/>
      <c r="IF51" s="196"/>
      <c r="IG51" s="196"/>
      <c r="IH51" s="196"/>
      <c r="II51" s="196"/>
      <c r="IJ51" s="196"/>
      <c r="IK51" s="196"/>
      <c r="IL51" s="196"/>
      <c r="IM51" s="196"/>
      <c r="IN51" s="196"/>
      <c r="IO51" s="196"/>
      <c r="IP51" s="196"/>
      <c r="IQ51" s="196"/>
      <c r="IR51" s="196"/>
      <c r="IS51" s="196"/>
      <c r="IT51" s="196"/>
      <c r="IU51" s="196"/>
    </row>
    <row r="52" spans="1:255" s="74" customFormat="1" ht="12" x14ac:dyDescent="0.2">
      <c r="A52" s="204">
        <v>31</v>
      </c>
      <c r="B52" s="205" t="s">
        <v>72</v>
      </c>
      <c r="C52" s="205" t="s">
        <v>102</v>
      </c>
      <c r="D52" s="205" t="s">
        <v>32</v>
      </c>
      <c r="E52" s="206">
        <f>O52</f>
        <v>1</v>
      </c>
      <c r="F52" s="207">
        <f>ROUND( 341.48, 2 )</f>
        <v>341.48</v>
      </c>
      <c r="G52" s="207">
        <f>ROUND(E52*F52,2)</f>
        <v>341.48</v>
      </c>
      <c r="H52" s="209" t="s">
        <v>517</v>
      </c>
      <c r="I52" s="209" t="s">
        <v>491</v>
      </c>
      <c r="N52" s="196"/>
      <c r="O52" s="196">
        <f>SUM(P52:IV52)</f>
        <v>1</v>
      </c>
      <c r="P52" s="196">
        <f>Source!I61</f>
        <v>1</v>
      </c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  <c r="ID52" s="196"/>
      <c r="IE52" s="196"/>
      <c r="IF52" s="196"/>
      <c r="IG52" s="196"/>
      <c r="IH52" s="196"/>
      <c r="II52" s="196"/>
      <c r="IJ52" s="196"/>
      <c r="IK52" s="196"/>
      <c r="IL52" s="196"/>
      <c r="IM52" s="196"/>
      <c r="IN52" s="196"/>
      <c r="IO52" s="196"/>
      <c r="IP52" s="196"/>
      <c r="IQ52" s="196"/>
      <c r="IR52" s="196"/>
      <c r="IS52" s="196"/>
      <c r="IT52" s="196"/>
      <c r="IU52" s="196"/>
    </row>
    <row r="53" spans="1:255" s="74" customFormat="1" ht="24" x14ac:dyDescent="0.2">
      <c r="A53" s="204">
        <v>32</v>
      </c>
      <c r="B53" s="205" t="s">
        <v>72</v>
      </c>
      <c r="C53" s="205" t="s">
        <v>94</v>
      </c>
      <c r="D53" s="205" t="s">
        <v>32</v>
      </c>
      <c r="E53" s="206">
        <f>O53</f>
        <v>1</v>
      </c>
      <c r="F53" s="207">
        <f>ROUND( 0 * 12.5, 2 )</f>
        <v>0</v>
      </c>
      <c r="G53" s="207">
        <f>ROUND(E53*F53,2)</f>
        <v>0</v>
      </c>
      <c r="H53" s="208" t="s">
        <v>518</v>
      </c>
      <c r="I53" s="208" t="s">
        <v>491</v>
      </c>
      <c r="N53" s="196"/>
      <c r="O53" s="196">
        <f>SUM(P53:IV53)</f>
        <v>1</v>
      </c>
      <c r="P53" s="196">
        <f>Source!I55</f>
        <v>1</v>
      </c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  <c r="GV53" s="196"/>
      <c r="GW53" s="196"/>
      <c r="GX53" s="196"/>
      <c r="GY53" s="196"/>
      <c r="GZ53" s="196"/>
      <c r="HA53" s="196"/>
      <c r="HB53" s="196"/>
      <c r="HC53" s="196"/>
      <c r="HD53" s="196"/>
      <c r="HE53" s="196"/>
      <c r="HF53" s="196"/>
      <c r="HG53" s="196"/>
      <c r="HH53" s="196"/>
      <c r="HI53" s="196"/>
      <c r="HJ53" s="196"/>
      <c r="HK53" s="196"/>
      <c r="HL53" s="196"/>
      <c r="HM53" s="196"/>
      <c r="HN53" s="196"/>
      <c r="HO53" s="196"/>
      <c r="HP53" s="196"/>
      <c r="HQ53" s="196"/>
      <c r="HR53" s="196"/>
      <c r="HS53" s="196"/>
      <c r="HT53" s="196"/>
      <c r="HU53" s="196"/>
      <c r="HV53" s="196"/>
      <c r="HW53" s="196"/>
      <c r="HX53" s="196"/>
      <c r="HY53" s="196"/>
      <c r="HZ53" s="196"/>
      <c r="IA53" s="196"/>
      <c r="IB53" s="196"/>
      <c r="IC53" s="196"/>
      <c r="ID53" s="196"/>
      <c r="IE53" s="196"/>
      <c r="IF53" s="196"/>
      <c r="IG53" s="196"/>
      <c r="IH53" s="196"/>
      <c r="II53" s="196"/>
      <c r="IJ53" s="196"/>
      <c r="IK53" s="196"/>
      <c r="IL53" s="196"/>
      <c r="IM53" s="196"/>
      <c r="IN53" s="196"/>
      <c r="IO53" s="196"/>
      <c r="IP53" s="196"/>
      <c r="IQ53" s="196"/>
      <c r="IR53" s="196"/>
      <c r="IS53" s="196"/>
      <c r="IT53" s="196"/>
      <c r="IU53" s="196"/>
    </row>
    <row r="54" spans="1:255" s="74" customFormat="1" ht="12" x14ac:dyDescent="0.2">
      <c r="A54" s="204">
        <v>33</v>
      </c>
      <c r="B54" s="205" t="s">
        <v>72</v>
      </c>
      <c r="C54" s="205" t="s">
        <v>96</v>
      </c>
      <c r="D54" s="205" t="s">
        <v>32</v>
      </c>
      <c r="E54" s="206">
        <f>O54</f>
        <v>1</v>
      </c>
      <c r="F54" s="207">
        <f>ROUND( 405.07, 2 )</f>
        <v>405.07</v>
      </c>
      <c r="G54" s="207">
        <f>ROUND(E54*F54,2)</f>
        <v>405.07</v>
      </c>
      <c r="H54" s="209" t="s">
        <v>517</v>
      </c>
      <c r="I54" s="209" t="s">
        <v>491</v>
      </c>
      <c r="N54" s="196"/>
      <c r="O54" s="196">
        <f>SUM(P54:IV54)</f>
        <v>1</v>
      </c>
      <c r="P54" s="196">
        <f>Source!I57</f>
        <v>1</v>
      </c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  <c r="ID54" s="196"/>
      <c r="IE54" s="196"/>
      <c r="IF54" s="196"/>
      <c r="IG54" s="196"/>
      <c r="IH54" s="196"/>
      <c r="II54" s="196"/>
      <c r="IJ54" s="196"/>
      <c r="IK54" s="196"/>
      <c r="IL54" s="196"/>
      <c r="IM54" s="196"/>
      <c r="IN54" s="196"/>
      <c r="IO54" s="196"/>
      <c r="IP54" s="196"/>
      <c r="IQ54" s="196"/>
      <c r="IR54" s="196"/>
      <c r="IS54" s="196"/>
      <c r="IT54" s="196"/>
      <c r="IU54" s="196"/>
    </row>
    <row r="55" spans="1:255" s="74" customFormat="1" ht="12" x14ac:dyDescent="0.2">
      <c r="A55" s="204">
        <v>34</v>
      </c>
      <c r="B55" s="205" t="s">
        <v>72</v>
      </c>
      <c r="C55" s="205" t="s">
        <v>108</v>
      </c>
      <c r="D55" s="205" t="s">
        <v>32</v>
      </c>
      <c r="E55" s="206">
        <f>O55</f>
        <v>1</v>
      </c>
      <c r="F55" s="207">
        <f>ROUND( 64.41, 2 )</f>
        <v>64.41</v>
      </c>
      <c r="G55" s="207">
        <f>ROUND(E55*F55,2)</f>
        <v>64.41</v>
      </c>
      <c r="H55" s="209" t="s">
        <v>517</v>
      </c>
      <c r="I55" s="209" t="s">
        <v>491</v>
      </c>
      <c r="N55" s="196"/>
      <c r="O55" s="196">
        <f>SUM(P55:IV55)</f>
        <v>1</v>
      </c>
      <c r="P55" s="196">
        <f>Source!I65</f>
        <v>1</v>
      </c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  <c r="GN55" s="196"/>
      <c r="GO55" s="196"/>
      <c r="GP55" s="196"/>
      <c r="GQ55" s="196"/>
      <c r="GR55" s="196"/>
      <c r="GS55" s="196"/>
      <c r="GT55" s="196"/>
      <c r="GU55" s="196"/>
      <c r="GV55" s="196"/>
      <c r="GW55" s="196"/>
      <c r="GX55" s="196"/>
      <c r="GY55" s="196"/>
      <c r="GZ55" s="196"/>
      <c r="HA55" s="196"/>
      <c r="HB55" s="196"/>
      <c r="HC55" s="196"/>
      <c r="HD55" s="196"/>
      <c r="HE55" s="196"/>
      <c r="HF55" s="196"/>
      <c r="HG55" s="196"/>
      <c r="HH55" s="196"/>
      <c r="HI55" s="196"/>
      <c r="HJ55" s="196"/>
      <c r="HK55" s="196"/>
      <c r="HL55" s="196"/>
      <c r="HM55" s="196"/>
      <c r="HN55" s="196"/>
      <c r="HO55" s="196"/>
      <c r="HP55" s="196"/>
      <c r="HQ55" s="196"/>
      <c r="HR55" s="196"/>
      <c r="HS55" s="196"/>
      <c r="HT55" s="196"/>
      <c r="HU55" s="196"/>
      <c r="HV55" s="196"/>
      <c r="HW55" s="196"/>
      <c r="HX55" s="196"/>
      <c r="HY55" s="196"/>
      <c r="HZ55" s="196"/>
      <c r="IA55" s="196"/>
      <c r="IB55" s="196"/>
      <c r="IC55" s="196"/>
      <c r="ID55" s="196"/>
      <c r="IE55" s="196"/>
      <c r="IF55" s="196"/>
      <c r="IG55" s="196"/>
      <c r="IH55" s="196"/>
      <c r="II55" s="196"/>
      <c r="IJ55" s="196"/>
      <c r="IK55" s="196"/>
      <c r="IL55" s="196"/>
      <c r="IM55" s="196"/>
      <c r="IN55" s="196"/>
      <c r="IO55" s="196"/>
      <c r="IP55" s="196"/>
      <c r="IQ55" s="196"/>
      <c r="IR55" s="196"/>
      <c r="IS55" s="196"/>
      <c r="IT55" s="196"/>
      <c r="IU55" s="196"/>
    </row>
    <row r="56" spans="1:255" s="74" customFormat="1" ht="12" x14ac:dyDescent="0.2">
      <c r="A56" s="204">
        <v>35</v>
      </c>
      <c r="B56" s="205" t="s">
        <v>72</v>
      </c>
      <c r="C56" s="205" t="s">
        <v>88</v>
      </c>
      <c r="D56" s="205" t="s">
        <v>32</v>
      </c>
      <c r="E56" s="206">
        <f>O56</f>
        <v>1</v>
      </c>
      <c r="F56" s="207">
        <f>ROUND( 1000, 2 )</f>
        <v>1000</v>
      </c>
      <c r="G56" s="207">
        <f>ROUND(E56*F56,2)</f>
        <v>1000</v>
      </c>
      <c r="H56" s="209" t="s">
        <v>517</v>
      </c>
      <c r="I56" s="209" t="s">
        <v>491</v>
      </c>
      <c r="N56" s="196"/>
      <c r="O56" s="196">
        <f>SUM(P56:IV56)</f>
        <v>1</v>
      </c>
      <c r="P56" s="196">
        <f>Source!I51</f>
        <v>1</v>
      </c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  <c r="GK56" s="196"/>
      <c r="GL56" s="196"/>
      <c r="GM56" s="196"/>
      <c r="GN56" s="196"/>
      <c r="GO56" s="196"/>
      <c r="GP56" s="196"/>
      <c r="GQ56" s="196"/>
      <c r="GR56" s="196"/>
      <c r="GS56" s="196"/>
      <c r="GT56" s="196"/>
      <c r="GU56" s="196"/>
      <c r="GV56" s="196"/>
      <c r="GW56" s="196"/>
      <c r="GX56" s="196"/>
      <c r="GY56" s="196"/>
      <c r="GZ56" s="196"/>
      <c r="HA56" s="196"/>
      <c r="HB56" s="196"/>
      <c r="HC56" s="196"/>
      <c r="HD56" s="196"/>
      <c r="HE56" s="196"/>
      <c r="HF56" s="196"/>
      <c r="HG56" s="196"/>
      <c r="HH56" s="196"/>
      <c r="HI56" s="196"/>
      <c r="HJ56" s="196"/>
      <c r="HK56" s="196"/>
      <c r="HL56" s="196"/>
      <c r="HM56" s="196"/>
      <c r="HN56" s="196"/>
      <c r="HO56" s="196"/>
      <c r="HP56" s="196"/>
      <c r="HQ56" s="196"/>
      <c r="HR56" s="196"/>
      <c r="HS56" s="196"/>
      <c r="HT56" s="196"/>
      <c r="HU56" s="196"/>
      <c r="HV56" s="196"/>
      <c r="HW56" s="196"/>
      <c r="HX56" s="196"/>
      <c r="HY56" s="196"/>
      <c r="HZ56" s="196"/>
      <c r="IA56" s="196"/>
      <c r="IB56" s="196"/>
      <c r="IC56" s="196"/>
      <c r="ID56" s="196"/>
      <c r="IE56" s="196"/>
      <c r="IF56" s="196"/>
      <c r="IG56" s="196"/>
      <c r="IH56" s="196"/>
      <c r="II56" s="196"/>
      <c r="IJ56" s="196"/>
      <c r="IK56" s="196"/>
      <c r="IL56" s="196"/>
      <c r="IM56" s="196"/>
      <c r="IN56" s="196"/>
      <c r="IO56" s="196"/>
      <c r="IP56" s="196"/>
      <c r="IQ56" s="196"/>
      <c r="IR56" s="196"/>
      <c r="IS56" s="196"/>
      <c r="IT56" s="196"/>
      <c r="IU56" s="196"/>
    </row>
    <row r="57" spans="1:255" s="74" customFormat="1" ht="24" x14ac:dyDescent="0.2">
      <c r="A57" s="204">
        <v>36</v>
      </c>
      <c r="B57" s="205" t="s">
        <v>72</v>
      </c>
      <c r="C57" s="205" t="s">
        <v>91</v>
      </c>
      <c r="D57" s="205" t="s">
        <v>32</v>
      </c>
      <c r="E57" s="206">
        <f>O57</f>
        <v>1</v>
      </c>
      <c r="F57" s="207">
        <f>ROUND( 200, 2 )</f>
        <v>200</v>
      </c>
      <c r="G57" s="207">
        <f>ROUND(E57*F57,2)</f>
        <v>200</v>
      </c>
      <c r="H57" s="209" t="s">
        <v>517</v>
      </c>
      <c r="I57" s="209" t="s">
        <v>491</v>
      </c>
      <c r="N57" s="196"/>
      <c r="O57" s="196">
        <f>SUM(P57:IV57)</f>
        <v>1</v>
      </c>
      <c r="P57" s="196">
        <f>Source!I53</f>
        <v>1</v>
      </c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6"/>
      <c r="FL57" s="196"/>
      <c r="FM57" s="196"/>
      <c r="FN57" s="196"/>
      <c r="FO57" s="196"/>
      <c r="FP57" s="196"/>
      <c r="FQ57" s="196"/>
      <c r="FR57" s="196"/>
      <c r="FS57" s="196"/>
      <c r="FT57" s="196"/>
      <c r="FU57" s="196"/>
      <c r="FV57" s="196"/>
      <c r="FW57" s="196"/>
      <c r="FX57" s="196"/>
      <c r="FY57" s="196"/>
      <c r="FZ57" s="196"/>
      <c r="GA57" s="196"/>
      <c r="GB57" s="196"/>
      <c r="GC57" s="196"/>
      <c r="GD57" s="196"/>
      <c r="GE57" s="196"/>
      <c r="GF57" s="196"/>
      <c r="GG57" s="196"/>
      <c r="GH57" s="196"/>
      <c r="GI57" s="196"/>
      <c r="GJ57" s="196"/>
      <c r="GK57" s="196"/>
      <c r="GL57" s="196"/>
      <c r="GM57" s="196"/>
      <c r="GN57" s="196"/>
      <c r="GO57" s="196"/>
      <c r="GP57" s="196"/>
      <c r="GQ57" s="196"/>
      <c r="GR57" s="196"/>
      <c r="GS57" s="196"/>
      <c r="GT57" s="196"/>
      <c r="GU57" s="196"/>
      <c r="GV57" s="196"/>
      <c r="GW57" s="196"/>
      <c r="GX57" s="196"/>
      <c r="GY57" s="196"/>
      <c r="GZ57" s="196"/>
      <c r="HA57" s="196"/>
      <c r="HB57" s="196"/>
      <c r="HC57" s="196"/>
      <c r="HD57" s="196"/>
      <c r="HE57" s="196"/>
      <c r="HF57" s="196"/>
      <c r="HG57" s="196"/>
      <c r="HH57" s="196"/>
      <c r="HI57" s="196"/>
      <c r="HJ57" s="196"/>
      <c r="HK57" s="196"/>
      <c r="HL57" s="196"/>
      <c r="HM57" s="196"/>
      <c r="HN57" s="196"/>
      <c r="HO57" s="196"/>
      <c r="HP57" s="196"/>
      <c r="HQ57" s="196"/>
      <c r="HR57" s="196"/>
      <c r="HS57" s="196"/>
      <c r="HT57" s="196"/>
      <c r="HU57" s="196"/>
      <c r="HV57" s="196"/>
      <c r="HW57" s="196"/>
      <c r="HX57" s="196"/>
      <c r="HY57" s="196"/>
      <c r="HZ57" s="196"/>
      <c r="IA57" s="196"/>
      <c r="IB57" s="196"/>
      <c r="IC57" s="196"/>
      <c r="ID57" s="196"/>
      <c r="IE57" s="196"/>
      <c r="IF57" s="196"/>
      <c r="IG57" s="196"/>
      <c r="IH57" s="196"/>
      <c r="II57" s="196"/>
      <c r="IJ57" s="196"/>
      <c r="IK57" s="196"/>
      <c r="IL57" s="196"/>
      <c r="IM57" s="196"/>
      <c r="IN57" s="196"/>
      <c r="IO57" s="196"/>
      <c r="IP57" s="196"/>
      <c r="IQ57" s="196"/>
      <c r="IR57" s="196"/>
      <c r="IS57" s="196"/>
      <c r="IT57" s="196"/>
      <c r="IU57" s="196"/>
    </row>
    <row r="58" spans="1:255" s="74" customFormat="1" ht="12" x14ac:dyDescent="0.2">
      <c r="A58" s="204">
        <v>37</v>
      </c>
      <c r="B58" s="205" t="s">
        <v>72</v>
      </c>
      <c r="C58" s="205" t="s">
        <v>73</v>
      </c>
      <c r="D58" s="205" t="s">
        <v>32</v>
      </c>
      <c r="E58" s="206">
        <f>O58</f>
        <v>1</v>
      </c>
      <c r="F58" s="207">
        <f>ROUND( 184650, 2 )</f>
        <v>184650</v>
      </c>
      <c r="G58" s="207">
        <f>ROUND(E58*F58,2)</f>
        <v>184650</v>
      </c>
      <c r="H58" s="209" t="s">
        <v>517</v>
      </c>
      <c r="I58" s="209" t="s">
        <v>491</v>
      </c>
      <c r="N58" s="196"/>
      <c r="O58" s="196">
        <f>SUM(P58:IV58)</f>
        <v>1</v>
      </c>
      <c r="P58" s="196">
        <f>Source!I43</f>
        <v>1</v>
      </c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  <c r="GN58" s="196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196"/>
      <c r="IB58" s="196"/>
      <c r="IC58" s="196"/>
      <c r="ID58" s="196"/>
      <c r="IE58" s="196"/>
      <c r="IF58" s="196"/>
      <c r="IG58" s="196"/>
      <c r="IH58" s="196"/>
      <c r="II58" s="196"/>
      <c r="IJ58" s="196"/>
      <c r="IK58" s="196"/>
      <c r="IL58" s="196"/>
      <c r="IM58" s="196"/>
      <c r="IN58" s="196"/>
      <c r="IO58" s="196"/>
      <c r="IP58" s="196"/>
      <c r="IQ58" s="196"/>
      <c r="IR58" s="196"/>
      <c r="IS58" s="196"/>
      <c r="IT58" s="196"/>
      <c r="IU58" s="196"/>
    </row>
    <row r="59" spans="1:255" s="74" customFormat="1" ht="12" x14ac:dyDescent="0.2">
      <c r="A59" s="204">
        <v>38</v>
      </c>
      <c r="B59" s="205" t="s">
        <v>72</v>
      </c>
      <c r="C59" s="205" t="s">
        <v>82</v>
      </c>
      <c r="D59" s="205" t="s">
        <v>32</v>
      </c>
      <c r="E59" s="206">
        <f>O59</f>
        <v>2</v>
      </c>
      <c r="F59" s="207">
        <f>ROUND( 334, 2 )</f>
        <v>334</v>
      </c>
      <c r="G59" s="207">
        <f>ROUND(E59*F59,2)</f>
        <v>668</v>
      </c>
      <c r="H59" s="209" t="s">
        <v>517</v>
      </c>
      <c r="I59" s="209" t="s">
        <v>491</v>
      </c>
      <c r="N59" s="196"/>
      <c r="O59" s="196">
        <f>SUM(P59:IV59)</f>
        <v>2</v>
      </c>
      <c r="P59" s="196">
        <f>Source!I47</f>
        <v>2</v>
      </c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  <c r="GN59" s="196"/>
      <c r="GO59" s="196"/>
      <c r="GP59" s="196"/>
      <c r="GQ59" s="196"/>
      <c r="GR59" s="196"/>
      <c r="GS59" s="196"/>
      <c r="GT59" s="196"/>
      <c r="GU59" s="196"/>
      <c r="GV59" s="196"/>
      <c r="GW59" s="196"/>
      <c r="GX59" s="196"/>
      <c r="GY59" s="196"/>
      <c r="GZ59" s="196"/>
      <c r="HA59" s="196"/>
      <c r="HB59" s="196"/>
      <c r="HC59" s="196"/>
      <c r="HD59" s="196"/>
      <c r="HE59" s="196"/>
      <c r="HF59" s="196"/>
      <c r="HG59" s="196"/>
      <c r="HH59" s="196"/>
      <c r="HI59" s="196"/>
      <c r="HJ59" s="196"/>
      <c r="HK59" s="196"/>
      <c r="HL59" s="196"/>
      <c r="HM59" s="196"/>
      <c r="HN59" s="196"/>
      <c r="HO59" s="196"/>
      <c r="HP59" s="196"/>
      <c r="HQ59" s="196"/>
      <c r="HR59" s="196"/>
      <c r="HS59" s="196"/>
      <c r="HT59" s="196"/>
      <c r="HU59" s="196"/>
      <c r="HV59" s="196"/>
      <c r="HW59" s="196"/>
      <c r="HX59" s="196"/>
      <c r="HY59" s="196"/>
      <c r="HZ59" s="196"/>
      <c r="IA59" s="196"/>
      <c r="IB59" s="196"/>
      <c r="IC59" s="196"/>
      <c r="ID59" s="196"/>
      <c r="IE59" s="196"/>
      <c r="IF59" s="196"/>
      <c r="IG59" s="196"/>
      <c r="IH59" s="196"/>
      <c r="II59" s="196"/>
      <c r="IJ59" s="196"/>
      <c r="IK59" s="196"/>
      <c r="IL59" s="196"/>
      <c r="IM59" s="196"/>
      <c r="IN59" s="196"/>
      <c r="IO59" s="196"/>
      <c r="IP59" s="196"/>
      <c r="IQ59" s="196"/>
      <c r="IR59" s="196"/>
      <c r="IS59" s="196"/>
      <c r="IT59" s="196"/>
      <c r="IU59" s="196"/>
    </row>
    <row r="60" spans="1:255" x14ac:dyDescent="0.2">
      <c r="A60" s="200"/>
      <c r="B60" s="200"/>
      <c r="C60" s="201" t="s">
        <v>515</v>
      </c>
      <c r="D60" s="200"/>
      <c r="E60" s="200"/>
      <c r="F60" s="200"/>
      <c r="G60" s="202">
        <f>ROUND(SUM(G48:G59),2)</f>
        <v>293965.05</v>
      </c>
      <c r="H60" s="200"/>
      <c r="I60" s="200"/>
      <c r="J60" s="26"/>
      <c r="K60" s="26"/>
      <c r="L60" s="26"/>
      <c r="M60" s="199">
        <f>G60</f>
        <v>293965.05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2" spans="1:255" x14ac:dyDescent="0.2">
      <c r="C62" s="197" t="s">
        <v>160</v>
      </c>
      <c r="G62" s="198">
        <f>ROUND(SUM(M19:M62),2)</f>
        <v>297302.43</v>
      </c>
    </row>
    <row r="65" spans="1:255" x14ac:dyDescent="0.2">
      <c r="A65" s="180" t="s">
        <v>464</v>
      </c>
      <c r="B65" s="180"/>
      <c r="C65" s="210"/>
      <c r="D65" s="181"/>
      <c r="E65" s="181"/>
      <c r="F65" s="182"/>
      <c r="G65" s="182"/>
      <c r="BY65" s="183">
        <f>C65</f>
        <v>0</v>
      </c>
      <c r="BZ65" s="183">
        <f>F65</f>
        <v>0</v>
      </c>
      <c r="IU65" s="26"/>
    </row>
    <row r="66" spans="1:255" s="212" customFormat="1" ht="11.25" x14ac:dyDescent="0.2">
      <c r="A66" s="211"/>
      <c r="B66" s="211"/>
      <c r="C66" s="213" t="s">
        <v>460</v>
      </c>
      <c r="D66" s="213"/>
      <c r="E66" s="213"/>
      <c r="F66" s="213" t="s">
        <v>461</v>
      </c>
      <c r="G66" s="213"/>
    </row>
    <row r="67" spans="1:255" x14ac:dyDescent="0.2">
      <c r="A67" s="21"/>
      <c r="B67" s="21"/>
      <c r="C67" s="21"/>
      <c r="D67" s="11" t="s">
        <v>462</v>
      </c>
      <c r="E67" s="21"/>
      <c r="F67" s="21"/>
      <c r="G67" s="21"/>
    </row>
    <row r="68" spans="1:255" x14ac:dyDescent="0.2">
      <c r="A68" s="180" t="s">
        <v>465</v>
      </c>
      <c r="B68" s="180"/>
      <c r="C68" s="210"/>
      <c r="D68" s="181"/>
      <c r="E68" s="181"/>
      <c r="F68" s="182"/>
      <c r="G68" s="182"/>
      <c r="BY68" s="183">
        <f>C68</f>
        <v>0</v>
      </c>
      <c r="BZ68" s="183">
        <f>F68</f>
        <v>0</v>
      </c>
      <c r="IU68" s="26"/>
    </row>
    <row r="69" spans="1:255" s="212" customFormat="1" ht="11.25" x14ac:dyDescent="0.2">
      <c r="A69" s="211"/>
      <c r="B69" s="211"/>
      <c r="C69" s="213" t="s">
        <v>460</v>
      </c>
      <c r="D69" s="213"/>
      <c r="E69" s="213"/>
      <c r="F69" s="213" t="s">
        <v>461</v>
      </c>
      <c r="G69" s="213"/>
    </row>
    <row r="70" spans="1:255" x14ac:dyDescent="0.2">
      <c r="A70" s="21"/>
      <c r="B70" s="21"/>
      <c r="C70" s="21"/>
      <c r="D70" s="11" t="s">
        <v>462</v>
      </c>
      <c r="E70" s="21"/>
      <c r="F70" s="21"/>
      <c r="G70" s="21"/>
    </row>
  </sheetData>
  <sortState ref="A48:IU59">
    <sortCondition ref="C48"/>
    <sortCondition ref="D48"/>
  </sortState>
  <mergeCells count="16">
    <mergeCell ref="F68:G68"/>
    <mergeCell ref="C69:E69"/>
    <mergeCell ref="F69:G69"/>
    <mergeCell ref="A8:G8"/>
    <mergeCell ref="A9:G9"/>
    <mergeCell ref="A10:G10"/>
    <mergeCell ref="B11:G11"/>
    <mergeCell ref="F65:G65"/>
    <mergeCell ref="C66:E66"/>
    <mergeCell ref="F66:G66"/>
    <mergeCell ref="A1:G1"/>
    <mergeCell ref="C3:G3"/>
    <mergeCell ref="C4:G4"/>
    <mergeCell ref="C5:G5"/>
    <mergeCell ref="C6:G6"/>
    <mergeCell ref="A7:G7"/>
  </mergeCells>
  <pageMargins left="0.7" right="0.7" top="0.75" bottom="0.75" header="0.3" footer="0.3"/>
  <pageSetup paperSize="9" orientation="portrait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83"/>
  <sheetViews>
    <sheetView zoomScale="102" zoomScaleNormal="102" workbookViewId="0">
      <selection activeCell="A2" sqref="A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8.7109375" customWidth="1"/>
    <col min="4" max="4" width="9.7109375" customWidth="1"/>
    <col min="5" max="5" width="7.7109375" customWidth="1"/>
    <col min="6" max="6" width="8.7109375" customWidth="1"/>
    <col min="7" max="7" width="12.7109375" customWidth="1"/>
    <col min="8" max="9" width="8.7109375" customWidth="1"/>
    <col min="10" max="10" width="12.7109375" customWidth="1"/>
    <col min="11" max="11" width="10.7109375" customWidth="1"/>
    <col min="16" max="69" width="0" hidden="1" customWidth="1"/>
    <col min="70" max="71" width="75.7109375" hidden="1" customWidth="1"/>
    <col min="72" max="72" width="113.7109375" hidden="1" customWidth="1"/>
    <col min="73" max="74" width="133.7109375" hidden="1" customWidth="1"/>
    <col min="75" max="75" width="23.7109375" hidden="1" customWidth="1"/>
    <col min="76" max="76" width="0" hidden="1" customWidth="1"/>
    <col min="77" max="77" width="63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368</v>
      </c>
    </row>
    <row r="2" spans="1:255" hidden="1" outlineLevel="1" x14ac:dyDescent="0.2">
      <c r="H2" s="15" t="s">
        <v>369</v>
      </c>
      <c r="I2" s="15"/>
      <c r="J2" s="15"/>
      <c r="K2" s="15"/>
    </row>
    <row r="3" spans="1:255" hidden="1" outlineLevel="1" x14ac:dyDescent="0.2">
      <c r="H3" s="15" t="s">
        <v>370</v>
      </c>
      <c r="I3" s="15"/>
      <c r="J3" s="15"/>
      <c r="K3" s="15"/>
    </row>
    <row r="4" spans="1:255" hidden="1" outlineLevel="1" x14ac:dyDescent="0.2">
      <c r="H4" s="15" t="s">
        <v>371</v>
      </c>
      <c r="I4" s="15"/>
      <c r="J4" s="15"/>
      <c r="K4" s="15"/>
    </row>
    <row r="5" spans="1:255" s="13" customFormat="1" ht="11.25" hidden="1" outlineLevel="1" x14ac:dyDescent="0.2">
      <c r="J5" s="16" t="s">
        <v>372</v>
      </c>
      <c r="K5" s="20"/>
    </row>
    <row r="6" spans="1:255" s="17" customFormat="1" ht="9.75" hidden="1" outlineLevel="1" x14ac:dyDescent="0.2">
      <c r="I6" s="18" t="s">
        <v>373</v>
      </c>
      <c r="J6" s="19" t="s">
        <v>374</v>
      </c>
      <c r="K6" s="27"/>
    </row>
    <row r="7" spans="1:255" hidden="1" outlineLevel="1" x14ac:dyDescent="0.2">
      <c r="A7" s="24" t="s">
        <v>375</v>
      </c>
      <c r="B7" s="22"/>
      <c r="C7" s="33"/>
      <c r="D7" s="34"/>
      <c r="E7" s="34"/>
      <c r="F7" s="34"/>
      <c r="G7" s="34"/>
      <c r="I7" s="18" t="s">
        <v>376</v>
      </c>
      <c r="J7" s="35"/>
      <c r="K7" s="36"/>
      <c r="BR7" s="25">
        <f>C7</f>
        <v>0</v>
      </c>
      <c r="IU7" s="26"/>
    </row>
    <row r="8" spans="1:255" hidden="1" outlineLevel="1" x14ac:dyDescent="0.2">
      <c r="A8" s="24" t="s">
        <v>377</v>
      </c>
      <c r="B8" s="22"/>
      <c r="C8" s="30"/>
      <c r="D8" s="29"/>
      <c r="E8" s="29"/>
      <c r="F8" s="29"/>
      <c r="G8" s="29"/>
      <c r="I8" s="18" t="s">
        <v>376</v>
      </c>
      <c r="J8" s="35"/>
      <c r="K8" s="36"/>
      <c r="BR8" s="25">
        <f>C8</f>
        <v>0</v>
      </c>
      <c r="IU8" s="26"/>
    </row>
    <row r="9" spans="1:255" hidden="1" outlineLevel="1" x14ac:dyDescent="0.2">
      <c r="A9" s="24" t="s">
        <v>378</v>
      </c>
      <c r="B9" s="22"/>
      <c r="C9" s="30"/>
      <c r="D9" s="29"/>
      <c r="E9" s="29"/>
      <c r="F9" s="29"/>
      <c r="G9" s="29"/>
      <c r="I9" s="18" t="s">
        <v>376</v>
      </c>
      <c r="J9" s="35"/>
      <c r="K9" s="36"/>
      <c r="BR9" s="25">
        <f>C9</f>
        <v>0</v>
      </c>
      <c r="IU9" s="26"/>
    </row>
    <row r="10" spans="1:255" hidden="1" outlineLevel="1" x14ac:dyDescent="0.2">
      <c r="A10" s="24" t="s">
        <v>379</v>
      </c>
      <c r="B10" s="22"/>
      <c r="C10" s="30"/>
      <c r="D10" s="29"/>
      <c r="E10" s="29"/>
      <c r="F10" s="29"/>
      <c r="G10" s="29"/>
      <c r="I10" s="18" t="s">
        <v>376</v>
      </c>
      <c r="J10" s="35"/>
      <c r="K10" s="36"/>
      <c r="BR10" s="25">
        <f>C10</f>
        <v>0</v>
      </c>
      <c r="IU10" s="26"/>
    </row>
    <row r="11" spans="1:255" hidden="1" outlineLevel="1" x14ac:dyDescent="0.2">
      <c r="A11" s="24" t="s">
        <v>380</v>
      </c>
      <c r="C11" s="37"/>
      <c r="D11" s="37"/>
      <c r="E11" s="37"/>
      <c r="F11" s="37"/>
      <c r="G11" s="37"/>
      <c r="J11" s="35"/>
      <c r="K11" s="42"/>
      <c r="BS11" s="41">
        <f>C11</f>
        <v>0</v>
      </c>
      <c r="IU11" s="26"/>
    </row>
    <row r="12" spans="1:255" hidden="1" outlineLevel="1" x14ac:dyDescent="0.2">
      <c r="A12" s="24" t="s">
        <v>381</v>
      </c>
      <c r="C12" s="37" t="s">
        <v>5</v>
      </c>
      <c r="D12" s="37"/>
      <c r="E12" s="37"/>
      <c r="F12" s="37"/>
      <c r="G12" s="37"/>
      <c r="J12" s="35"/>
      <c r="K12" s="42"/>
      <c r="BS12" s="41" t="str">
        <f>C12</f>
        <v>Установка ПКУ В РУ-10 кВ ТП514</v>
      </c>
      <c r="IU12" s="26"/>
    </row>
    <row r="13" spans="1:255" hidden="1" outlineLevel="1" x14ac:dyDescent="0.2">
      <c r="A13" s="24" t="s">
        <v>382</v>
      </c>
      <c r="C13" s="43" t="s">
        <v>383</v>
      </c>
      <c r="D13" s="38"/>
      <c r="E13" s="38"/>
      <c r="F13" s="38"/>
      <c r="G13" s="38"/>
      <c r="I13" s="18" t="s">
        <v>384</v>
      </c>
      <c r="J13" s="35"/>
      <c r="K13" s="42"/>
      <c r="BS13" s="44" t="str">
        <f>C13</f>
        <v xml:space="preserve"> </v>
      </c>
      <c r="IU13" s="26"/>
    </row>
    <row r="14" spans="1:255" hidden="1" outlineLevel="1" x14ac:dyDescent="0.2">
      <c r="G14" s="45" t="s">
        <v>385</v>
      </c>
      <c r="H14" s="45"/>
      <c r="I14" s="46" t="s">
        <v>386</v>
      </c>
      <c r="J14" s="48"/>
      <c r="K14" s="51"/>
      <c r="BW14" s="49">
        <f>J14</f>
        <v>0</v>
      </c>
      <c r="IU14" s="26"/>
    </row>
    <row r="15" spans="1:255" hidden="1" outlineLevel="1" x14ac:dyDescent="0.2">
      <c r="I15" s="47" t="s">
        <v>387</v>
      </c>
      <c r="J15" s="50"/>
      <c r="K15" s="52"/>
    </row>
    <row r="16" spans="1:255" s="17" customFormat="1" ht="11.25" hidden="1" outlineLevel="1" x14ac:dyDescent="0.2">
      <c r="I16" s="18" t="s">
        <v>388</v>
      </c>
      <c r="J16" s="28"/>
      <c r="K16" s="39"/>
    </row>
    <row r="17" spans="1:255" hidden="1" outlineLevel="1" x14ac:dyDescent="0.2"/>
    <row r="18" spans="1:255" hidden="1" outlineLevel="1" x14ac:dyDescent="0.2">
      <c r="G18" s="55" t="s">
        <v>389</v>
      </c>
      <c r="H18" s="55" t="s">
        <v>390</v>
      </c>
      <c r="I18" s="55" t="s">
        <v>391</v>
      </c>
      <c r="J18" s="56"/>
    </row>
    <row r="19" spans="1:255" ht="13.5" hidden="1" outlineLevel="1" thickBot="1" x14ac:dyDescent="0.25">
      <c r="G19" s="59"/>
      <c r="H19" s="59"/>
      <c r="I19" s="60" t="s">
        <v>392</v>
      </c>
      <c r="J19" s="61" t="s">
        <v>393</v>
      </c>
    </row>
    <row r="20" spans="1:255" ht="19.5" hidden="1" outlineLevel="1" thickBot="1" x14ac:dyDescent="0.35">
      <c r="C20" s="58" t="s">
        <v>394</v>
      </c>
      <c r="D20" s="58"/>
      <c r="E20" s="58"/>
      <c r="F20" s="58"/>
      <c r="G20" s="62"/>
      <c r="H20" s="63"/>
      <c r="I20" s="64"/>
      <c r="J20" s="65"/>
      <c r="K20" s="66"/>
    </row>
    <row r="21" spans="1:255" ht="15.75" hidden="1" outlineLevel="1" x14ac:dyDescent="0.25">
      <c r="C21" s="67" t="s">
        <v>395</v>
      </c>
      <c r="D21" s="67"/>
      <c r="E21" s="67"/>
      <c r="F21" s="67"/>
    </row>
    <row r="22" spans="1:255" hidden="1" outlineLevel="1" x14ac:dyDescent="0.2">
      <c r="C22" s="68"/>
      <c r="D22" s="57"/>
      <c r="E22" s="57"/>
      <c r="F22" s="57"/>
    </row>
    <row r="23" spans="1:255" hidden="1" outlineLevel="1" x14ac:dyDescent="0.2">
      <c r="C23" s="70"/>
      <c r="D23" s="69"/>
      <c r="E23" s="69"/>
      <c r="F23" s="69"/>
      <c r="BU23" s="25">
        <f>A23</f>
        <v>0</v>
      </c>
      <c r="IU23" s="26"/>
    </row>
    <row r="24" spans="1:255" hidden="1" outlineLevel="1" x14ac:dyDescent="0.2">
      <c r="A24" s="17" t="s">
        <v>396</v>
      </c>
    </row>
    <row r="25" spans="1:255" hidden="1" outlineLevel="1" x14ac:dyDescent="0.2">
      <c r="A25" s="17" t="s">
        <v>397</v>
      </c>
    </row>
    <row r="26" spans="1:255" hidden="1" outlineLevel="1" x14ac:dyDescent="0.2">
      <c r="A26" s="17" t="s">
        <v>398</v>
      </c>
      <c r="B26" s="17"/>
      <c r="C26" s="17"/>
      <c r="D26" s="17"/>
      <c r="E26" s="71">
        <f>J163/1000</f>
        <v>357.19670000000002</v>
      </c>
      <c r="F26" s="71"/>
      <c r="G26" s="17" t="s">
        <v>399</v>
      </c>
      <c r="H26" s="17"/>
      <c r="I26" s="17"/>
      <c r="J26" s="17"/>
      <c r="K26" s="17"/>
    </row>
    <row r="27" spans="1:255" collapsed="1" x14ac:dyDescent="0.2"/>
    <row r="28" spans="1:255" outlineLevel="1" x14ac:dyDescent="0.2">
      <c r="K28" s="72" t="s">
        <v>400</v>
      </c>
    </row>
    <row r="29" spans="1:255" outlineLevel="1" x14ac:dyDescent="0.2">
      <c r="A29" s="24" t="s">
        <v>380</v>
      </c>
      <c r="C29" s="73"/>
      <c r="D29" s="73"/>
      <c r="E29" s="73"/>
      <c r="F29" s="73"/>
      <c r="G29" s="73"/>
      <c r="H29" s="73"/>
      <c r="I29" s="73"/>
      <c r="J29" s="73"/>
      <c r="K29" s="73"/>
      <c r="BT29" s="75">
        <f>C29</f>
        <v>0</v>
      </c>
      <c r="IU29" s="26"/>
    </row>
    <row r="30" spans="1:255" outlineLevel="1" x14ac:dyDescent="0.2">
      <c r="A30" s="24" t="s">
        <v>381</v>
      </c>
      <c r="C30" s="73" t="s">
        <v>5</v>
      </c>
      <c r="D30" s="73"/>
      <c r="E30" s="73"/>
      <c r="F30" s="73"/>
      <c r="G30" s="73"/>
      <c r="H30" s="73"/>
      <c r="I30" s="73"/>
      <c r="J30" s="73"/>
      <c r="K30" s="73"/>
      <c r="BT30" s="75" t="str">
        <f>C30</f>
        <v>Установка ПКУ В РУ-10 кВ ТП514</v>
      </c>
      <c r="IU30" s="26"/>
    </row>
    <row r="31" spans="1:255" outlineLevel="1" x14ac:dyDescent="0.2">
      <c r="A31" s="24" t="s">
        <v>382</v>
      </c>
      <c r="C31" s="76" t="s">
        <v>401</v>
      </c>
      <c r="D31" s="73"/>
      <c r="E31" s="73"/>
      <c r="F31" s="73"/>
      <c r="G31" s="73"/>
      <c r="H31" s="73"/>
      <c r="I31" s="73"/>
      <c r="J31" s="73"/>
      <c r="K31" s="73"/>
      <c r="BT31" s="77" t="str">
        <f>C31</f>
        <v xml:space="preserve">  </v>
      </c>
      <c r="IU31" s="26"/>
    </row>
    <row r="32" spans="1:255" outlineLevel="1" x14ac:dyDescent="0.2"/>
    <row r="33" spans="1:255" ht="18.75" outlineLevel="1" x14ac:dyDescent="0.3">
      <c r="A33" s="58" t="s">
        <v>402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255" outlineLevel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BV34" s="41">
        <f>A34</f>
        <v>0</v>
      </c>
      <c r="IU34" s="26"/>
    </row>
    <row r="35" spans="1:255" outlineLevel="1" x14ac:dyDescent="0.2">
      <c r="A35" s="24" t="s">
        <v>403</v>
      </c>
      <c r="C35" s="73"/>
      <c r="D35" s="73"/>
      <c r="E35" s="73"/>
      <c r="F35" s="73"/>
      <c r="G35" s="73"/>
      <c r="H35" s="73"/>
      <c r="I35" s="73"/>
      <c r="J35" s="73"/>
      <c r="K35" s="73"/>
      <c r="BT35" s="75">
        <f>C35</f>
        <v>0</v>
      </c>
      <c r="IU35" s="26"/>
    </row>
    <row r="36" spans="1:255" outlineLevel="1" x14ac:dyDescent="0.2">
      <c r="I36" s="79" t="s">
        <v>447</v>
      </c>
      <c r="J36" s="79" t="s">
        <v>404</v>
      </c>
    </row>
    <row r="37" spans="1:255" outlineLevel="1" x14ac:dyDescent="0.2">
      <c r="G37" s="14" t="s">
        <v>405</v>
      </c>
      <c r="H37" s="14"/>
      <c r="I37" s="80">
        <f>H163/1000</f>
        <v>28.556050000000003</v>
      </c>
      <c r="J37" s="80">
        <f>J163/1000</f>
        <v>357.19670000000002</v>
      </c>
      <c r="K37" s="14" t="s">
        <v>406</v>
      </c>
    </row>
    <row r="38" spans="1:255" outlineLevel="1" x14ac:dyDescent="0.2">
      <c r="G38" s="13" t="s">
        <v>407</v>
      </c>
      <c r="H38" s="13"/>
      <c r="I38" s="81">
        <f>(EW151+EY151)/1000</f>
        <v>0.7219000000000001</v>
      </c>
      <c r="J38" s="81">
        <f>(CZ151+DB151)/1000</f>
        <v>9.1439900000000005</v>
      </c>
      <c r="K38" s="13" t="s">
        <v>406</v>
      </c>
    </row>
    <row r="39" spans="1:255" outlineLevel="1" x14ac:dyDescent="0.2">
      <c r="G39" s="13" t="s">
        <v>408</v>
      </c>
      <c r="H39" s="13"/>
      <c r="I39" s="81">
        <f>ET151</f>
        <v>53.182400000000001</v>
      </c>
      <c r="J39" s="81">
        <f>CW151</f>
        <v>53.182400000000001</v>
      </c>
      <c r="K39" s="13" t="s">
        <v>409</v>
      </c>
    </row>
    <row r="40" spans="1:255" outlineLevel="1" x14ac:dyDescent="0.2">
      <c r="A40" s="17" t="s">
        <v>396</v>
      </c>
    </row>
    <row r="41" spans="1:255" ht="13.5" outlineLevel="1" thickBot="1" x14ac:dyDescent="0.25">
      <c r="A41" s="17" t="s">
        <v>397</v>
      </c>
    </row>
    <row r="42" spans="1:255" x14ac:dyDescent="0.2">
      <c r="A42" s="83" t="s">
        <v>410</v>
      </c>
      <c r="B42" s="86" t="s">
        <v>411</v>
      </c>
      <c r="C42" s="86" t="s">
        <v>412</v>
      </c>
      <c r="D42" s="86" t="s">
        <v>413</v>
      </c>
      <c r="E42" s="86" t="s">
        <v>414</v>
      </c>
      <c r="F42" s="86" t="s">
        <v>415</v>
      </c>
      <c r="G42" s="86" t="s">
        <v>416</v>
      </c>
      <c r="H42" s="86" t="s">
        <v>417</v>
      </c>
      <c r="I42" s="86" t="s">
        <v>418</v>
      </c>
      <c r="J42" s="86" t="s">
        <v>419</v>
      </c>
      <c r="K42" s="84" t="s">
        <v>420</v>
      </c>
    </row>
    <row r="43" spans="1:255" x14ac:dyDescent="0.2">
      <c r="A43" s="82"/>
      <c r="B43" s="87"/>
      <c r="C43" s="87"/>
      <c r="D43" s="87"/>
      <c r="E43" s="87"/>
      <c r="F43" s="87"/>
      <c r="G43" s="87"/>
      <c r="H43" s="87"/>
      <c r="I43" s="87"/>
      <c r="J43" s="87"/>
      <c r="K43" s="85"/>
    </row>
    <row r="44" spans="1:255" x14ac:dyDescent="0.2">
      <c r="A44" s="82"/>
      <c r="B44" s="87"/>
      <c r="C44" s="87"/>
      <c r="D44" s="87"/>
      <c r="E44" s="87"/>
      <c r="F44" s="87"/>
      <c r="G44" s="87"/>
      <c r="H44" s="87"/>
      <c r="I44" s="87"/>
      <c r="J44" s="87"/>
      <c r="K44" s="85"/>
    </row>
    <row r="45" spans="1:255" ht="13.5" thickBot="1" x14ac:dyDescent="0.25">
      <c r="A45" s="82"/>
      <c r="B45" s="87"/>
      <c r="C45" s="87"/>
      <c r="D45" s="87"/>
      <c r="E45" s="87"/>
      <c r="F45" s="87"/>
      <c r="G45" s="87"/>
      <c r="H45" s="87"/>
      <c r="I45" s="87"/>
      <c r="J45" s="87"/>
      <c r="K45" s="85"/>
    </row>
    <row r="46" spans="1:255" ht="13.5" thickBot="1" x14ac:dyDescent="0.25">
      <c r="A46" s="88">
        <v>1</v>
      </c>
      <c r="B46" s="88">
        <v>2</v>
      </c>
      <c r="C46" s="88">
        <v>3</v>
      </c>
      <c r="D46" s="88">
        <v>4</v>
      </c>
      <c r="E46" s="88">
        <v>5</v>
      </c>
      <c r="F46" s="88">
        <v>6</v>
      </c>
      <c r="G46" s="88">
        <v>7</v>
      </c>
      <c r="H46" s="88">
        <v>8</v>
      </c>
      <c r="I46" s="88">
        <v>9</v>
      </c>
      <c r="J46" s="88">
        <v>10</v>
      </c>
      <c r="K46" s="88">
        <v>11</v>
      </c>
    </row>
    <row r="47" spans="1:255" ht="36" x14ac:dyDescent="0.2">
      <c r="A47" s="89">
        <v>1</v>
      </c>
      <c r="B47" s="96" t="s">
        <v>14</v>
      </c>
      <c r="C47" s="90" t="s">
        <v>15</v>
      </c>
      <c r="D47" s="91" t="s">
        <v>16</v>
      </c>
      <c r="E47" s="92">
        <v>0.08</v>
      </c>
      <c r="F47" s="93">
        <f>Source!AK25</f>
        <v>46.83</v>
      </c>
      <c r="G47" s="97" t="s">
        <v>3</v>
      </c>
      <c r="H47" s="93">
        <f>Source!AB25</f>
        <v>46.83</v>
      </c>
      <c r="I47" s="93"/>
      <c r="J47" s="95"/>
      <c r="K47" s="94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255" x14ac:dyDescent="0.2">
      <c r="A48" s="103"/>
      <c r="B48" s="98"/>
      <c r="C48" s="98" t="s">
        <v>423</v>
      </c>
      <c r="D48" s="99"/>
      <c r="E48" s="100"/>
      <c r="F48" s="104">
        <v>46.83</v>
      </c>
      <c r="G48" s="101"/>
      <c r="H48" s="104">
        <f>Source!AF25</f>
        <v>46.83</v>
      </c>
      <c r="I48" s="104">
        <f>T48</f>
        <v>3.75</v>
      </c>
      <c r="J48" s="102">
        <v>12.5</v>
      </c>
      <c r="K48" s="105">
        <f>U48</f>
        <v>46.83</v>
      </c>
      <c r="O48" s="26"/>
      <c r="P48" s="26"/>
      <c r="Q48" s="26"/>
      <c r="R48" s="26"/>
      <c r="S48" s="26"/>
      <c r="T48" s="26">
        <f>ROUND(Source!AF25*Source!AV25*Source!I25,2)</f>
        <v>3.75</v>
      </c>
      <c r="U48" s="26">
        <f>Source!S25</f>
        <v>46.83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>
        <f>T48</f>
        <v>3.75</v>
      </c>
      <c r="GK48" s="26">
        <f>T48</f>
        <v>3.75</v>
      </c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>
        <f>T48</f>
        <v>3.75</v>
      </c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</row>
    <row r="49" spans="1:255" x14ac:dyDescent="0.2">
      <c r="A49" s="111"/>
      <c r="B49" s="107"/>
      <c r="C49" s="107" t="s">
        <v>424</v>
      </c>
      <c r="D49" s="108"/>
      <c r="E49" s="109">
        <v>78</v>
      </c>
      <c r="F49" s="112" t="s">
        <v>425</v>
      </c>
      <c r="G49" s="110"/>
      <c r="H49" s="113">
        <f>ROUND((Source!AF25*Source!AV25+Source!AE25*Source!AV25)*(Source!FX25)/100,2)</f>
        <v>36.53</v>
      </c>
      <c r="I49" s="113">
        <f>T49</f>
        <v>2.93</v>
      </c>
      <c r="J49" s="115">
        <v>0.78</v>
      </c>
      <c r="K49" s="114">
        <f>U49</f>
        <v>36.53</v>
      </c>
      <c r="O49" s="26"/>
      <c r="P49" s="26"/>
      <c r="Q49" s="26"/>
      <c r="R49" s="26"/>
      <c r="S49" s="26"/>
      <c r="T49" s="26">
        <f>ROUND((ROUND(Source!AF25*Source!AV25*Source!I25,2)+ROUND(Source!AE25*Source!AV25*Source!I25,2))*(Source!FX25)/100,2)</f>
        <v>2.93</v>
      </c>
      <c r="U49" s="26">
        <f>Source!X25</f>
        <v>36.53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>
        <f>T49</f>
        <v>2.93</v>
      </c>
      <c r="GZ49" s="26"/>
      <c r="HA49" s="26"/>
      <c r="HB49" s="26">
        <f>T49</f>
        <v>2.93</v>
      </c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</row>
    <row r="50" spans="1:255" x14ac:dyDescent="0.2">
      <c r="A50" s="111"/>
      <c r="B50" s="107"/>
      <c r="C50" s="107" t="s">
        <v>426</v>
      </c>
      <c r="D50" s="108"/>
      <c r="E50" s="109">
        <v>50</v>
      </c>
      <c r="F50" s="112" t="s">
        <v>425</v>
      </c>
      <c r="G50" s="110"/>
      <c r="H50" s="113">
        <f>ROUND((Source!AF25*Source!AV25+Source!AE25*Source!AV25)*(Source!FY25)/100,2)</f>
        <v>23.42</v>
      </c>
      <c r="I50" s="113">
        <f>T50</f>
        <v>1.88</v>
      </c>
      <c r="J50" s="115">
        <v>0.5</v>
      </c>
      <c r="K50" s="114">
        <f>U50</f>
        <v>23.42</v>
      </c>
      <c r="O50" s="26"/>
      <c r="P50" s="26"/>
      <c r="Q50" s="26"/>
      <c r="R50" s="26"/>
      <c r="S50" s="26"/>
      <c r="T50" s="26">
        <f>ROUND((ROUND(Source!AF25*Source!AV25*Source!I25,2)+ROUND(Source!AE25*Source!AV25*Source!I25,2))*(Source!FY25)/100,2)</f>
        <v>1.88</v>
      </c>
      <c r="U50" s="26">
        <f>Source!Y25</f>
        <v>23.42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>
        <f>T50</f>
        <v>1.88</v>
      </c>
      <c r="HA50" s="26"/>
      <c r="HB50" s="26">
        <f>T50</f>
        <v>1.88</v>
      </c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</row>
    <row r="51" spans="1:255" ht="13.5" thickBot="1" x14ac:dyDescent="0.25">
      <c r="A51" s="124"/>
      <c r="B51" s="125"/>
      <c r="C51" s="125" t="s">
        <v>427</v>
      </c>
      <c r="D51" s="126" t="s">
        <v>428</v>
      </c>
      <c r="E51" s="127">
        <v>5.49</v>
      </c>
      <c r="F51" s="128"/>
      <c r="G51" s="129"/>
      <c r="H51" s="128">
        <f>ROUND(Source!AH25,2)</f>
        <v>5.49</v>
      </c>
      <c r="I51" s="130">
        <f>Source!U25</f>
        <v>0.43920000000000003</v>
      </c>
      <c r="J51" s="128"/>
      <c r="K51" s="131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</row>
    <row r="52" spans="1:255" x14ac:dyDescent="0.2">
      <c r="A52" s="123"/>
      <c r="B52" s="122"/>
      <c r="C52" s="122"/>
      <c r="D52" s="122"/>
      <c r="E52" s="122"/>
      <c r="F52" s="122"/>
      <c r="G52" s="122"/>
      <c r="H52" s="132">
        <f>R52</f>
        <v>8.5599999999999987</v>
      </c>
      <c r="I52" s="133"/>
      <c r="J52" s="132">
        <f>S52</f>
        <v>106.78</v>
      </c>
      <c r="K52" s="134"/>
      <c r="O52" s="26"/>
      <c r="P52" s="26"/>
      <c r="Q52" s="26"/>
      <c r="R52" s="26">
        <f>SUM(T47:T51)</f>
        <v>8.5599999999999987</v>
      </c>
      <c r="S52" s="26">
        <f>SUM(U47:U51)</f>
        <v>106.78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>
        <f>R52</f>
        <v>8.5599999999999987</v>
      </c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</row>
    <row r="53" spans="1:255" x14ac:dyDescent="0.2">
      <c r="A53" s="135">
        <v>2</v>
      </c>
      <c r="B53" s="143" t="s">
        <v>22</v>
      </c>
      <c r="C53" s="136" t="s">
        <v>23</v>
      </c>
      <c r="D53" s="137" t="s">
        <v>24</v>
      </c>
      <c r="E53" s="138">
        <v>1</v>
      </c>
      <c r="F53" s="139">
        <f>Source!AK27</f>
        <v>2048.42</v>
      </c>
      <c r="G53" s="144" t="s">
        <v>3</v>
      </c>
      <c r="H53" s="139">
        <f>Source!AB27</f>
        <v>2048.42</v>
      </c>
      <c r="I53" s="139"/>
      <c r="J53" s="142"/>
      <c r="K53" s="140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</row>
    <row r="54" spans="1:255" x14ac:dyDescent="0.2">
      <c r="A54" s="103"/>
      <c r="B54" s="98"/>
      <c r="C54" s="98" t="s">
        <v>423</v>
      </c>
      <c r="D54" s="99"/>
      <c r="E54" s="100"/>
      <c r="F54" s="104">
        <v>126.06</v>
      </c>
      <c r="G54" s="101"/>
      <c r="H54" s="104">
        <f>Source!AF27</f>
        <v>126.06</v>
      </c>
      <c r="I54" s="104">
        <f>T54</f>
        <v>126.06</v>
      </c>
      <c r="J54" s="102">
        <v>12.5</v>
      </c>
      <c r="K54" s="105">
        <f>U54</f>
        <v>1575.75</v>
      </c>
      <c r="O54" s="26"/>
      <c r="P54" s="26"/>
      <c r="Q54" s="26"/>
      <c r="R54" s="26"/>
      <c r="S54" s="26"/>
      <c r="T54" s="26">
        <f>ROUND(Source!AF27*Source!AV27*Source!I27,2)</f>
        <v>126.06</v>
      </c>
      <c r="U54" s="26">
        <f>Source!S27</f>
        <v>1575.75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>
        <f>T54</f>
        <v>126.06</v>
      </c>
      <c r="GK54" s="26">
        <f>T54</f>
        <v>126.06</v>
      </c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>
        <f>T54</f>
        <v>126.06</v>
      </c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</row>
    <row r="55" spans="1:255" x14ac:dyDescent="0.2">
      <c r="A55" s="120"/>
      <c r="B55" s="116"/>
      <c r="C55" s="116" t="s">
        <v>429</v>
      </c>
      <c r="D55" s="117"/>
      <c r="E55" s="118"/>
      <c r="F55" s="121">
        <v>1730.05</v>
      </c>
      <c r="G55" s="119"/>
      <c r="H55" s="121">
        <f>Source!AD27</f>
        <v>1730.05</v>
      </c>
      <c r="I55" s="121">
        <f>T55</f>
        <v>1730.05</v>
      </c>
      <c r="J55" s="145">
        <v>12.5</v>
      </c>
      <c r="K55" s="146">
        <f>U55</f>
        <v>21625.63</v>
      </c>
      <c r="O55" s="26"/>
      <c r="P55" s="26"/>
      <c r="Q55" s="26"/>
      <c r="R55" s="26"/>
      <c r="S55" s="26"/>
      <c r="T55" s="26">
        <f>ROUND(Source!AD27*Source!AV27*Source!I27,2)</f>
        <v>1730.05</v>
      </c>
      <c r="U55" s="26">
        <f>Source!Q27</f>
        <v>21625.63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>
        <f>T55</f>
        <v>1730.05</v>
      </c>
      <c r="GK55" s="26"/>
      <c r="GL55" s="26">
        <f>T55</f>
        <v>1730.05</v>
      </c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>
        <f>T55</f>
        <v>1730.05</v>
      </c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</row>
    <row r="56" spans="1:255" x14ac:dyDescent="0.2">
      <c r="A56" s="120"/>
      <c r="B56" s="116"/>
      <c r="C56" s="116" t="s">
        <v>430</v>
      </c>
      <c r="D56" s="117"/>
      <c r="E56" s="118"/>
      <c r="F56" s="121">
        <v>85.46</v>
      </c>
      <c r="G56" s="119"/>
      <c r="H56" s="121">
        <f>Source!AE27</f>
        <v>85.46</v>
      </c>
      <c r="I56" s="121">
        <f>GM56</f>
        <v>85.46</v>
      </c>
      <c r="J56" s="145">
        <v>12.5</v>
      </c>
      <c r="K56" s="146">
        <f>Source!R27</f>
        <v>1068.25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>
        <f>ROUND(Source!AE27*Source!AV27*Source!I27,2)</f>
        <v>85.46</v>
      </c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</row>
    <row r="57" spans="1:255" x14ac:dyDescent="0.2">
      <c r="A57" s="120"/>
      <c r="B57" s="116"/>
      <c r="C57" s="116" t="s">
        <v>431</v>
      </c>
      <c r="D57" s="117"/>
      <c r="E57" s="118"/>
      <c r="F57" s="121">
        <v>192.31</v>
      </c>
      <c r="G57" s="119"/>
      <c r="H57" s="121">
        <f>Source!AC27</f>
        <v>192.31</v>
      </c>
      <c r="I57" s="121">
        <f>T57</f>
        <v>192.31</v>
      </c>
      <c r="J57" s="145">
        <v>12.5</v>
      </c>
      <c r="K57" s="146">
        <f>U57</f>
        <v>2403.88</v>
      </c>
      <c r="O57" s="26"/>
      <c r="P57" s="26"/>
      <c r="Q57" s="26"/>
      <c r="R57" s="26"/>
      <c r="S57" s="26"/>
      <c r="T57" s="26">
        <f>ROUND(Source!AC27*Source!AW27*Source!I27,2)</f>
        <v>192.31</v>
      </c>
      <c r="U57" s="26">
        <f>Source!P27</f>
        <v>2403.88</v>
      </c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>
        <f>T57</f>
        <v>192.31</v>
      </c>
      <c r="GK57" s="26"/>
      <c r="GL57" s="26"/>
      <c r="GM57" s="26"/>
      <c r="GN57" s="26">
        <f>T57</f>
        <v>192.31</v>
      </c>
      <c r="GO57" s="26"/>
      <c r="GP57" s="26">
        <f>T57</f>
        <v>192.31</v>
      </c>
      <c r="GQ57" s="26">
        <f>T57</f>
        <v>192.31</v>
      </c>
      <c r="GR57" s="26"/>
      <c r="GS57" s="26">
        <f>T57</f>
        <v>192.31</v>
      </c>
      <c r="GT57" s="26"/>
      <c r="GU57" s="26"/>
      <c r="GV57" s="26"/>
      <c r="GW57" s="26">
        <f>ROUND(Source!AG27*Source!I27,2)</f>
        <v>0</v>
      </c>
      <c r="GX57" s="26">
        <f>ROUND(Source!AJ27*Source!I27,2)</f>
        <v>0</v>
      </c>
      <c r="GY57" s="26"/>
      <c r="GZ57" s="26"/>
      <c r="HA57" s="26"/>
      <c r="HB57" s="26">
        <f>T57</f>
        <v>192.31</v>
      </c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</row>
    <row r="58" spans="1:255" x14ac:dyDescent="0.2">
      <c r="A58" s="111"/>
      <c r="B58" s="107"/>
      <c r="C58" s="107" t="s">
        <v>424</v>
      </c>
      <c r="D58" s="108"/>
      <c r="E58" s="109">
        <v>100</v>
      </c>
      <c r="F58" s="112" t="s">
        <v>425</v>
      </c>
      <c r="G58" s="110"/>
      <c r="H58" s="113">
        <f>ROUND((Source!AF27*Source!AV27+Source!AE27*Source!AV27)*(Source!FX27)/100,2)</f>
        <v>211.52</v>
      </c>
      <c r="I58" s="113">
        <f>T58</f>
        <v>211.52</v>
      </c>
      <c r="J58" s="115">
        <v>1</v>
      </c>
      <c r="K58" s="114">
        <f>U58</f>
        <v>2644</v>
      </c>
      <c r="O58" s="26"/>
      <c r="P58" s="26"/>
      <c r="Q58" s="26"/>
      <c r="R58" s="26"/>
      <c r="S58" s="26"/>
      <c r="T58" s="26">
        <f>ROUND((ROUND(Source!AF27*Source!AV27*Source!I27,2)+ROUND(Source!AE27*Source!AV27*Source!I27,2))*(Source!FX27)/100,2)</f>
        <v>211.52</v>
      </c>
      <c r="U58" s="26">
        <f>Source!X27</f>
        <v>2644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>
        <f>T58</f>
        <v>211.52</v>
      </c>
      <c r="GZ58" s="26"/>
      <c r="HA58" s="26"/>
      <c r="HB58" s="26">
        <f>T58</f>
        <v>211.52</v>
      </c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</row>
    <row r="59" spans="1:255" x14ac:dyDescent="0.2">
      <c r="A59" s="111"/>
      <c r="B59" s="107"/>
      <c r="C59" s="107" t="s">
        <v>426</v>
      </c>
      <c r="D59" s="108"/>
      <c r="E59" s="109">
        <v>65</v>
      </c>
      <c r="F59" s="112" t="s">
        <v>425</v>
      </c>
      <c r="G59" s="110"/>
      <c r="H59" s="113">
        <f>ROUND((Source!AF27*Source!AV27+Source!AE27*Source!AV27)*(Source!FY27)/100,2)</f>
        <v>137.49</v>
      </c>
      <c r="I59" s="113">
        <f>T59</f>
        <v>137.49</v>
      </c>
      <c r="J59" s="115">
        <v>0.65</v>
      </c>
      <c r="K59" s="114">
        <f>U59</f>
        <v>1718.6</v>
      </c>
      <c r="O59" s="26"/>
      <c r="P59" s="26"/>
      <c r="Q59" s="26"/>
      <c r="R59" s="26"/>
      <c r="S59" s="26"/>
      <c r="T59" s="26">
        <f>ROUND((ROUND(Source!AF27*Source!AV27*Source!I27,2)+ROUND(Source!AE27*Source!AV27*Source!I27,2))*(Source!FY27)/100,2)</f>
        <v>137.49</v>
      </c>
      <c r="U59" s="26">
        <f>Source!Y27</f>
        <v>1718.6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>
        <f>T59</f>
        <v>137.49</v>
      </c>
      <c r="HA59" s="26"/>
      <c r="HB59" s="26">
        <f>T59</f>
        <v>137.49</v>
      </c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</row>
    <row r="60" spans="1:255" ht="13.5" thickBot="1" x14ac:dyDescent="0.25">
      <c r="A60" s="124"/>
      <c r="B60" s="125"/>
      <c r="C60" s="125" t="s">
        <v>427</v>
      </c>
      <c r="D60" s="126" t="s">
        <v>428</v>
      </c>
      <c r="E60" s="127">
        <v>12.18</v>
      </c>
      <c r="F60" s="128"/>
      <c r="G60" s="129"/>
      <c r="H60" s="128">
        <f>ROUND(Source!AH27,2)</f>
        <v>12.18</v>
      </c>
      <c r="I60" s="130">
        <f>Source!U27</f>
        <v>12.18</v>
      </c>
      <c r="J60" s="128"/>
      <c r="K60" s="131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spans="1:255" x14ac:dyDescent="0.2">
      <c r="A61" s="123"/>
      <c r="B61" s="122"/>
      <c r="C61" s="122"/>
      <c r="D61" s="122"/>
      <c r="E61" s="122"/>
      <c r="F61" s="122"/>
      <c r="G61" s="122"/>
      <c r="H61" s="132">
        <f>R61</f>
        <v>2397.4300000000003</v>
      </c>
      <c r="I61" s="133"/>
      <c r="J61" s="132">
        <f>S61</f>
        <v>29967.86</v>
      </c>
      <c r="K61" s="134"/>
      <c r="O61" s="26"/>
      <c r="P61" s="26"/>
      <c r="Q61" s="26"/>
      <c r="R61" s="26">
        <f>SUM(T53:T60)</f>
        <v>2397.4300000000003</v>
      </c>
      <c r="S61" s="26">
        <f>SUM(U53:U60)</f>
        <v>29967.86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>
        <f>R61</f>
        <v>2397.4300000000003</v>
      </c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</row>
    <row r="62" spans="1:255" ht="36" x14ac:dyDescent="0.2">
      <c r="A62" s="135">
        <v>3</v>
      </c>
      <c r="B62" s="143" t="s">
        <v>30</v>
      </c>
      <c r="C62" s="136" t="s">
        <v>31</v>
      </c>
      <c r="D62" s="137" t="s">
        <v>32</v>
      </c>
      <c r="E62" s="138">
        <v>1</v>
      </c>
      <c r="F62" s="139">
        <f>Source!AK29</f>
        <v>35.980000000000004</v>
      </c>
      <c r="G62" s="144" t="s">
        <v>3</v>
      </c>
      <c r="H62" s="139">
        <f>Source!AB29</f>
        <v>35.979999999999997</v>
      </c>
      <c r="I62" s="139"/>
      <c r="J62" s="142"/>
      <c r="K62" s="140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</row>
    <row r="63" spans="1:255" x14ac:dyDescent="0.2">
      <c r="A63" s="103"/>
      <c r="B63" s="98"/>
      <c r="C63" s="98" t="s">
        <v>423</v>
      </c>
      <c r="D63" s="99"/>
      <c r="E63" s="100"/>
      <c r="F63" s="104">
        <v>14.84</v>
      </c>
      <c r="G63" s="101"/>
      <c r="H63" s="104">
        <f>Source!AF29</f>
        <v>14.84</v>
      </c>
      <c r="I63" s="104">
        <f>T63</f>
        <v>14.84</v>
      </c>
      <c r="J63" s="102">
        <v>12.5</v>
      </c>
      <c r="K63" s="105">
        <f>U63</f>
        <v>185.5</v>
      </c>
      <c r="O63" s="26"/>
      <c r="P63" s="26"/>
      <c r="Q63" s="26"/>
      <c r="R63" s="26"/>
      <c r="S63" s="26"/>
      <c r="T63" s="26">
        <f>ROUND(Source!AF29*Source!AV29*Source!I29,2)</f>
        <v>14.84</v>
      </c>
      <c r="U63" s="26">
        <f>Source!S29</f>
        <v>185.5</v>
      </c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>
        <f>T63</f>
        <v>14.84</v>
      </c>
      <c r="GK63" s="26">
        <f>T63</f>
        <v>14.84</v>
      </c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>
        <f>T63</f>
        <v>14.84</v>
      </c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</row>
    <row r="64" spans="1:255" x14ac:dyDescent="0.2">
      <c r="A64" s="120"/>
      <c r="B64" s="116"/>
      <c r="C64" s="116" t="s">
        <v>429</v>
      </c>
      <c r="D64" s="117"/>
      <c r="E64" s="118"/>
      <c r="F64" s="121">
        <v>1.05</v>
      </c>
      <c r="G64" s="119"/>
      <c r="H64" s="121">
        <f>Source!AD29</f>
        <v>1.05</v>
      </c>
      <c r="I64" s="121">
        <f>T64</f>
        <v>1.05</v>
      </c>
      <c r="J64" s="145">
        <v>12.5</v>
      </c>
      <c r="K64" s="146">
        <f>U64</f>
        <v>13.13</v>
      </c>
      <c r="O64" s="26"/>
      <c r="P64" s="26"/>
      <c r="Q64" s="26"/>
      <c r="R64" s="26"/>
      <c r="S64" s="26"/>
      <c r="T64" s="26">
        <f>ROUND(Source!AD29*Source!AV29*Source!I29,2)</f>
        <v>1.05</v>
      </c>
      <c r="U64" s="26">
        <f>Source!Q29</f>
        <v>13.13</v>
      </c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>
        <f>T64</f>
        <v>1.05</v>
      </c>
      <c r="GK64" s="26"/>
      <c r="GL64" s="26">
        <f>T64</f>
        <v>1.05</v>
      </c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>
        <f>T64</f>
        <v>1.05</v>
      </c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</row>
    <row r="65" spans="1:255" x14ac:dyDescent="0.2">
      <c r="A65" s="120"/>
      <c r="B65" s="116"/>
      <c r="C65" s="116" t="s">
        <v>431</v>
      </c>
      <c r="D65" s="117"/>
      <c r="E65" s="118"/>
      <c r="F65" s="121">
        <v>20.09</v>
      </c>
      <c r="G65" s="119"/>
      <c r="H65" s="121">
        <f>Source!AC29</f>
        <v>20.09</v>
      </c>
      <c r="I65" s="121">
        <f>T65</f>
        <v>20.09</v>
      </c>
      <c r="J65" s="145">
        <v>12.5</v>
      </c>
      <c r="K65" s="146">
        <f>U65</f>
        <v>251.13</v>
      </c>
      <c r="O65" s="26"/>
      <c r="P65" s="26"/>
      <c r="Q65" s="26"/>
      <c r="R65" s="26"/>
      <c r="S65" s="26"/>
      <c r="T65" s="26">
        <f>ROUND(Source!AC29*Source!AW29*Source!I29,2)</f>
        <v>20.09</v>
      </c>
      <c r="U65" s="26">
        <f>Source!P29</f>
        <v>251.13</v>
      </c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>
        <f>T65</f>
        <v>20.09</v>
      </c>
      <c r="GK65" s="26"/>
      <c r="GL65" s="26"/>
      <c r="GM65" s="26"/>
      <c r="GN65" s="26">
        <f>T65</f>
        <v>20.09</v>
      </c>
      <c r="GO65" s="26"/>
      <c r="GP65" s="26">
        <f>T65</f>
        <v>20.09</v>
      </c>
      <c r="GQ65" s="26">
        <f>T65</f>
        <v>20.09</v>
      </c>
      <c r="GR65" s="26"/>
      <c r="GS65" s="26">
        <f>T65</f>
        <v>20.09</v>
      </c>
      <c r="GT65" s="26"/>
      <c r="GU65" s="26"/>
      <c r="GV65" s="26"/>
      <c r="GW65" s="26">
        <f>ROUND(Source!AG29*Source!I29,2)</f>
        <v>0</v>
      </c>
      <c r="GX65" s="26">
        <f>ROUND(Source!AJ29*Source!I29,2)</f>
        <v>0</v>
      </c>
      <c r="GY65" s="26"/>
      <c r="GZ65" s="26"/>
      <c r="HA65" s="26"/>
      <c r="HB65" s="26"/>
      <c r="HC65" s="26">
        <f>T65</f>
        <v>20.09</v>
      </c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</row>
    <row r="66" spans="1:255" x14ac:dyDescent="0.2">
      <c r="A66" s="111"/>
      <c r="B66" s="107"/>
      <c r="C66" s="107" t="s">
        <v>424</v>
      </c>
      <c r="D66" s="108"/>
      <c r="E66" s="109">
        <v>95</v>
      </c>
      <c r="F66" s="112" t="s">
        <v>425</v>
      </c>
      <c r="G66" s="110"/>
      <c r="H66" s="113">
        <f>ROUND((Source!AF29*Source!AV29+Source!AE29*Source!AV29)*(Source!FX29)/100,2)</f>
        <v>14.1</v>
      </c>
      <c r="I66" s="113">
        <f>T66</f>
        <v>14.1</v>
      </c>
      <c r="J66" s="115">
        <v>0.95</v>
      </c>
      <c r="K66" s="114">
        <f>U66</f>
        <v>176.23</v>
      </c>
      <c r="O66" s="26"/>
      <c r="P66" s="26"/>
      <c r="Q66" s="26"/>
      <c r="R66" s="26"/>
      <c r="S66" s="26"/>
      <c r="T66" s="26">
        <f>ROUND((ROUND(Source!AF29*Source!AV29*Source!I29,2)+ROUND(Source!AE29*Source!AV29*Source!I29,2))*(Source!FX29)/100,2)</f>
        <v>14.1</v>
      </c>
      <c r="U66" s="26">
        <f>Source!X29</f>
        <v>176.23</v>
      </c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>
        <f>T66</f>
        <v>14.1</v>
      </c>
      <c r="GZ66" s="26"/>
      <c r="HA66" s="26"/>
      <c r="HB66" s="26"/>
      <c r="HC66" s="26">
        <f>T66</f>
        <v>14.1</v>
      </c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</row>
    <row r="67" spans="1:255" x14ac:dyDescent="0.2">
      <c r="A67" s="111"/>
      <c r="B67" s="107"/>
      <c r="C67" s="107" t="s">
        <v>426</v>
      </c>
      <c r="D67" s="108"/>
      <c r="E67" s="109">
        <v>65</v>
      </c>
      <c r="F67" s="112" t="s">
        <v>425</v>
      </c>
      <c r="G67" s="110"/>
      <c r="H67" s="113">
        <f>ROUND((Source!AF29*Source!AV29+Source!AE29*Source!AV29)*(Source!FY29)/100,2)</f>
        <v>9.65</v>
      </c>
      <c r="I67" s="113">
        <f>T67</f>
        <v>9.65</v>
      </c>
      <c r="J67" s="115">
        <v>0.65</v>
      </c>
      <c r="K67" s="114">
        <f>U67</f>
        <v>120.58</v>
      </c>
      <c r="O67" s="26"/>
      <c r="P67" s="26"/>
      <c r="Q67" s="26"/>
      <c r="R67" s="26"/>
      <c r="S67" s="26"/>
      <c r="T67" s="26">
        <f>ROUND((ROUND(Source!AF29*Source!AV29*Source!I29,2)+ROUND(Source!AE29*Source!AV29*Source!I29,2))*(Source!FY29)/100,2)</f>
        <v>9.65</v>
      </c>
      <c r="U67" s="26">
        <f>Source!Y29</f>
        <v>120.58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>
        <f>T67</f>
        <v>9.65</v>
      </c>
      <c r="HA67" s="26"/>
      <c r="HB67" s="26"/>
      <c r="HC67" s="26">
        <f>T67</f>
        <v>9.65</v>
      </c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</row>
    <row r="68" spans="1:255" ht="13.5" thickBot="1" x14ac:dyDescent="0.25">
      <c r="A68" s="124"/>
      <c r="B68" s="125"/>
      <c r="C68" s="125" t="s">
        <v>427</v>
      </c>
      <c r="D68" s="126" t="s">
        <v>428</v>
      </c>
      <c r="E68" s="127">
        <v>1.56</v>
      </c>
      <c r="F68" s="128"/>
      <c r="G68" s="129"/>
      <c r="H68" s="128">
        <f>ROUND(Source!AH29,2)</f>
        <v>1.56</v>
      </c>
      <c r="I68" s="130">
        <f>Source!U29</f>
        <v>1.56</v>
      </c>
      <c r="J68" s="128"/>
      <c r="K68" s="131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x14ac:dyDescent="0.2">
      <c r="A69" s="123"/>
      <c r="B69" s="122"/>
      <c r="C69" s="122"/>
      <c r="D69" s="122"/>
      <c r="E69" s="122"/>
      <c r="F69" s="122"/>
      <c r="G69" s="122"/>
      <c r="H69" s="132">
        <f>R69</f>
        <v>59.730000000000004</v>
      </c>
      <c r="I69" s="133"/>
      <c r="J69" s="132">
        <f>S69</f>
        <v>746.57</v>
      </c>
      <c r="K69" s="134"/>
      <c r="O69" s="26"/>
      <c r="P69" s="26"/>
      <c r="Q69" s="26"/>
      <c r="R69" s="26">
        <f>SUM(T62:T68)</f>
        <v>59.730000000000004</v>
      </c>
      <c r="S69" s="26">
        <f>SUM(U62:U68)</f>
        <v>746.57</v>
      </c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>
        <f>R69</f>
        <v>59.730000000000004</v>
      </c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</row>
    <row r="70" spans="1:255" ht="24" x14ac:dyDescent="0.2">
      <c r="A70" s="135">
        <v>4</v>
      </c>
      <c r="B70" s="143" t="s">
        <v>38</v>
      </c>
      <c r="C70" s="136" t="s">
        <v>39</v>
      </c>
      <c r="D70" s="137" t="s">
        <v>16</v>
      </c>
      <c r="E70" s="138">
        <v>0.01</v>
      </c>
      <c r="F70" s="139">
        <f>Source!AK31</f>
        <v>453.92999999999995</v>
      </c>
      <c r="G70" s="144" t="s">
        <v>3</v>
      </c>
      <c r="H70" s="139">
        <f>Source!AB31</f>
        <v>453.93</v>
      </c>
      <c r="I70" s="139"/>
      <c r="J70" s="142"/>
      <c r="K70" s="140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</row>
    <row r="71" spans="1:255" x14ac:dyDescent="0.2">
      <c r="A71" s="103"/>
      <c r="B71" s="98"/>
      <c r="C71" s="98" t="s">
        <v>423</v>
      </c>
      <c r="D71" s="99"/>
      <c r="E71" s="100"/>
      <c r="F71" s="104">
        <v>342.84</v>
      </c>
      <c r="G71" s="101"/>
      <c r="H71" s="104">
        <f>Source!AF31</f>
        <v>342.84</v>
      </c>
      <c r="I71" s="104">
        <f>T71</f>
        <v>3.43</v>
      </c>
      <c r="J71" s="102">
        <v>12.5</v>
      </c>
      <c r="K71" s="105">
        <f>U71</f>
        <v>42.86</v>
      </c>
      <c r="O71" s="26"/>
      <c r="P71" s="26"/>
      <c r="Q71" s="26"/>
      <c r="R71" s="26"/>
      <c r="S71" s="26"/>
      <c r="T71" s="26">
        <f>ROUND(Source!AF31*Source!AV31*Source!I31,2)</f>
        <v>3.43</v>
      </c>
      <c r="U71" s="26">
        <f>Source!S31</f>
        <v>42.86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>
        <f>T71</f>
        <v>3.43</v>
      </c>
      <c r="GK71" s="26">
        <f>T71</f>
        <v>3.43</v>
      </c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>
        <f>T71</f>
        <v>3.43</v>
      </c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</row>
    <row r="72" spans="1:255" x14ac:dyDescent="0.2">
      <c r="A72" s="120"/>
      <c r="B72" s="116"/>
      <c r="C72" s="116" t="s">
        <v>429</v>
      </c>
      <c r="D72" s="117"/>
      <c r="E72" s="118"/>
      <c r="F72" s="121">
        <v>4.67</v>
      </c>
      <c r="G72" s="119"/>
      <c r="H72" s="121">
        <f>Source!AD31</f>
        <v>4.67</v>
      </c>
      <c r="I72" s="121">
        <f>T72</f>
        <v>0.05</v>
      </c>
      <c r="J72" s="145">
        <v>12.5</v>
      </c>
      <c r="K72" s="146">
        <f>U72</f>
        <v>0.57999999999999996</v>
      </c>
      <c r="O72" s="26"/>
      <c r="P72" s="26"/>
      <c r="Q72" s="26"/>
      <c r="R72" s="26"/>
      <c r="S72" s="26"/>
      <c r="T72" s="26">
        <f>ROUND(Source!AD31*Source!AV31*Source!I31,2)</f>
        <v>0.05</v>
      </c>
      <c r="U72" s="26">
        <f>Source!Q31</f>
        <v>0.57999999999999996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>
        <f>T72</f>
        <v>0.05</v>
      </c>
      <c r="GK72" s="26"/>
      <c r="GL72" s="26">
        <f>T72</f>
        <v>0.05</v>
      </c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>
        <f>T72</f>
        <v>0.05</v>
      </c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</row>
    <row r="73" spans="1:255" x14ac:dyDescent="0.2">
      <c r="A73" s="120"/>
      <c r="B73" s="116"/>
      <c r="C73" s="116" t="s">
        <v>430</v>
      </c>
      <c r="D73" s="117"/>
      <c r="E73" s="118"/>
      <c r="F73" s="121">
        <v>0.64</v>
      </c>
      <c r="G73" s="119"/>
      <c r="H73" s="121">
        <f>Source!AE31</f>
        <v>0.64</v>
      </c>
      <c r="I73" s="121">
        <f>GM73</f>
        <v>0.01</v>
      </c>
      <c r="J73" s="145">
        <v>12.5</v>
      </c>
      <c r="K73" s="146">
        <f>Source!R31</f>
        <v>0.08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>
        <f>ROUND(Source!AE31*Source!AV31*Source!I31,2)</f>
        <v>0.01</v>
      </c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</row>
    <row r="74" spans="1:255" x14ac:dyDescent="0.2">
      <c r="A74" s="120"/>
      <c r="B74" s="116"/>
      <c r="C74" s="116" t="s">
        <v>431</v>
      </c>
      <c r="D74" s="117"/>
      <c r="E74" s="118"/>
      <c r="F74" s="121">
        <v>106.42</v>
      </c>
      <c r="G74" s="119"/>
      <c r="H74" s="121">
        <f>Source!AC31</f>
        <v>106.42</v>
      </c>
      <c r="I74" s="121">
        <f>T74</f>
        <v>1.06</v>
      </c>
      <c r="J74" s="145">
        <v>12.5</v>
      </c>
      <c r="K74" s="146">
        <f>U74</f>
        <v>13.3</v>
      </c>
      <c r="O74" s="26"/>
      <c r="P74" s="26"/>
      <c r="Q74" s="26"/>
      <c r="R74" s="26"/>
      <c r="S74" s="26"/>
      <c r="T74" s="26">
        <f>ROUND(Source!AC31*Source!AW31*Source!I31,2)</f>
        <v>1.06</v>
      </c>
      <c r="U74" s="26">
        <f>Source!P31</f>
        <v>13.3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>
        <f>T74</f>
        <v>1.06</v>
      </c>
      <c r="GK74" s="26"/>
      <c r="GL74" s="26"/>
      <c r="GM74" s="26"/>
      <c r="GN74" s="26">
        <f>T74</f>
        <v>1.06</v>
      </c>
      <c r="GO74" s="26"/>
      <c r="GP74" s="26">
        <f>T74</f>
        <v>1.06</v>
      </c>
      <c r="GQ74" s="26">
        <f>T74</f>
        <v>1.06</v>
      </c>
      <c r="GR74" s="26"/>
      <c r="GS74" s="26">
        <f>T74</f>
        <v>1.06</v>
      </c>
      <c r="GT74" s="26"/>
      <c r="GU74" s="26"/>
      <c r="GV74" s="26"/>
      <c r="GW74" s="26">
        <f>ROUND(Source!AG31*Source!I31,2)</f>
        <v>0</v>
      </c>
      <c r="GX74" s="26">
        <f>ROUND(Source!AJ31*Source!I31,2)</f>
        <v>0</v>
      </c>
      <c r="GY74" s="26"/>
      <c r="GZ74" s="26"/>
      <c r="HA74" s="26"/>
      <c r="HB74" s="26"/>
      <c r="HC74" s="26">
        <f>T74</f>
        <v>1.06</v>
      </c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</row>
    <row r="75" spans="1:255" x14ac:dyDescent="0.2">
      <c r="A75" s="111"/>
      <c r="B75" s="107"/>
      <c r="C75" s="107" t="s">
        <v>424</v>
      </c>
      <c r="D75" s="108"/>
      <c r="E75" s="109">
        <v>95</v>
      </c>
      <c r="F75" s="112" t="s">
        <v>425</v>
      </c>
      <c r="G75" s="110"/>
      <c r="H75" s="113">
        <f>ROUND((Source!AF31*Source!AV31+Source!AE31*Source!AV31)*(Source!FX31)/100,2)</f>
        <v>326.31</v>
      </c>
      <c r="I75" s="113">
        <f>T75</f>
        <v>3.27</v>
      </c>
      <c r="J75" s="115">
        <v>0.95</v>
      </c>
      <c r="K75" s="114">
        <f>U75</f>
        <v>40.79</v>
      </c>
      <c r="O75" s="26"/>
      <c r="P75" s="26"/>
      <c r="Q75" s="26"/>
      <c r="R75" s="26"/>
      <c r="S75" s="26"/>
      <c r="T75" s="26">
        <f>ROUND((ROUND(Source!AF31*Source!AV31*Source!I31,2)+ROUND(Source!AE31*Source!AV31*Source!I31,2))*(Source!FX31)/100,2)</f>
        <v>3.27</v>
      </c>
      <c r="U75" s="26">
        <f>Source!X31</f>
        <v>40.79</v>
      </c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>
        <f>T75</f>
        <v>3.27</v>
      </c>
      <c r="GZ75" s="26"/>
      <c r="HA75" s="26"/>
      <c r="HB75" s="26"/>
      <c r="HC75" s="26">
        <f>T75</f>
        <v>3.27</v>
      </c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</row>
    <row r="76" spans="1:255" x14ac:dyDescent="0.2">
      <c r="A76" s="111"/>
      <c r="B76" s="107"/>
      <c r="C76" s="107" t="s">
        <v>426</v>
      </c>
      <c r="D76" s="108"/>
      <c r="E76" s="109">
        <v>65</v>
      </c>
      <c r="F76" s="112" t="s">
        <v>425</v>
      </c>
      <c r="G76" s="110"/>
      <c r="H76" s="113">
        <f>ROUND((Source!AF31*Source!AV31+Source!AE31*Source!AV31)*(Source!FY31)/100,2)</f>
        <v>223.26</v>
      </c>
      <c r="I76" s="113">
        <f>T76</f>
        <v>2.2400000000000002</v>
      </c>
      <c r="J76" s="115">
        <v>0.65</v>
      </c>
      <c r="K76" s="114">
        <f>U76</f>
        <v>27.91</v>
      </c>
      <c r="O76" s="26"/>
      <c r="P76" s="26"/>
      <c r="Q76" s="26"/>
      <c r="R76" s="26"/>
      <c r="S76" s="26"/>
      <c r="T76" s="26">
        <f>ROUND((ROUND(Source!AF31*Source!AV31*Source!I31,2)+ROUND(Source!AE31*Source!AV31*Source!I31,2))*(Source!FY31)/100,2)</f>
        <v>2.2400000000000002</v>
      </c>
      <c r="U76" s="26">
        <f>Source!Y31</f>
        <v>27.91</v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>
        <f>T76</f>
        <v>2.2400000000000002</v>
      </c>
      <c r="HA76" s="26"/>
      <c r="HB76" s="26"/>
      <c r="HC76" s="26">
        <f>T76</f>
        <v>2.2400000000000002</v>
      </c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</row>
    <row r="77" spans="1:255" ht="13.5" thickBot="1" x14ac:dyDescent="0.25">
      <c r="A77" s="124"/>
      <c r="B77" s="125"/>
      <c r="C77" s="125" t="s">
        <v>427</v>
      </c>
      <c r="D77" s="126" t="s">
        <v>428</v>
      </c>
      <c r="E77" s="127">
        <v>34.56</v>
      </c>
      <c r="F77" s="128"/>
      <c r="G77" s="129"/>
      <c r="H77" s="128">
        <f>ROUND(Source!AH31,2)</f>
        <v>34.56</v>
      </c>
      <c r="I77" s="130">
        <f>Source!U31</f>
        <v>0.34560000000000002</v>
      </c>
      <c r="J77" s="128"/>
      <c r="K77" s="131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</row>
    <row r="78" spans="1:255" x14ac:dyDescent="0.2">
      <c r="A78" s="123"/>
      <c r="B78" s="122"/>
      <c r="C78" s="122"/>
      <c r="D78" s="122"/>
      <c r="E78" s="122"/>
      <c r="F78" s="122"/>
      <c r="G78" s="122"/>
      <c r="H78" s="132">
        <f>R78</f>
        <v>10.050000000000001</v>
      </c>
      <c r="I78" s="133"/>
      <c r="J78" s="132">
        <f>S78</f>
        <v>125.44</v>
      </c>
      <c r="K78" s="134"/>
      <c r="O78" s="26"/>
      <c r="P78" s="26"/>
      <c r="Q78" s="26"/>
      <c r="R78" s="26">
        <f>SUM(T70:T77)</f>
        <v>10.050000000000001</v>
      </c>
      <c r="S78" s="26">
        <f>SUM(U70:U77)</f>
        <v>125.44</v>
      </c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>
        <f>R78</f>
        <v>10.050000000000001</v>
      </c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</row>
    <row r="79" spans="1:255" ht="24" x14ac:dyDescent="0.2">
      <c r="A79" s="135">
        <v>5</v>
      </c>
      <c r="B79" s="143" t="s">
        <v>42</v>
      </c>
      <c r="C79" s="136" t="s">
        <v>43</v>
      </c>
      <c r="D79" s="137" t="s">
        <v>44</v>
      </c>
      <c r="E79" s="138">
        <v>0.08</v>
      </c>
      <c r="F79" s="139">
        <f>Source!AK33</f>
        <v>117.17</v>
      </c>
      <c r="G79" s="144" t="s">
        <v>3</v>
      </c>
      <c r="H79" s="139">
        <f>Source!AB33</f>
        <v>117.17</v>
      </c>
      <c r="I79" s="139"/>
      <c r="J79" s="142"/>
      <c r="K79" s="140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</row>
    <row r="80" spans="1:255" x14ac:dyDescent="0.2">
      <c r="A80" s="103"/>
      <c r="B80" s="98"/>
      <c r="C80" s="98" t="s">
        <v>423</v>
      </c>
      <c r="D80" s="99"/>
      <c r="E80" s="100"/>
      <c r="F80" s="104">
        <v>102.8</v>
      </c>
      <c r="G80" s="101"/>
      <c r="H80" s="104">
        <f>Source!AF33</f>
        <v>102.8</v>
      </c>
      <c r="I80" s="104">
        <f>T80</f>
        <v>8.2200000000000006</v>
      </c>
      <c r="J80" s="102">
        <v>12.5</v>
      </c>
      <c r="K80" s="105">
        <f>U80</f>
        <v>102.8</v>
      </c>
      <c r="O80" s="26"/>
      <c r="P80" s="26"/>
      <c r="Q80" s="26"/>
      <c r="R80" s="26"/>
      <c r="S80" s="26"/>
      <c r="T80" s="26">
        <f>ROUND(Source!AF33*Source!AV33*Source!I33,2)</f>
        <v>8.2200000000000006</v>
      </c>
      <c r="U80" s="26">
        <f>Source!S33</f>
        <v>102.8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>
        <f>T80</f>
        <v>8.2200000000000006</v>
      </c>
      <c r="GK80" s="26">
        <f>T80</f>
        <v>8.2200000000000006</v>
      </c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>
        <f>T80</f>
        <v>8.2200000000000006</v>
      </c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</row>
    <row r="81" spans="1:255" x14ac:dyDescent="0.2">
      <c r="A81" s="120"/>
      <c r="B81" s="116"/>
      <c r="C81" s="116" t="s">
        <v>431</v>
      </c>
      <c r="D81" s="117"/>
      <c r="E81" s="118"/>
      <c r="F81" s="121">
        <v>14.37</v>
      </c>
      <c r="G81" s="119"/>
      <c r="H81" s="121">
        <f>Source!AC33</f>
        <v>14.37</v>
      </c>
      <c r="I81" s="121">
        <f>T81</f>
        <v>1.1499999999999999</v>
      </c>
      <c r="J81" s="145">
        <v>12.5</v>
      </c>
      <c r="K81" s="146">
        <f>U81</f>
        <v>14.37</v>
      </c>
      <c r="O81" s="26"/>
      <c r="P81" s="26"/>
      <c r="Q81" s="26"/>
      <c r="R81" s="26"/>
      <c r="S81" s="26"/>
      <c r="T81" s="26">
        <f>ROUND(Source!AC33*Source!AW33*Source!I33,2)</f>
        <v>1.1499999999999999</v>
      </c>
      <c r="U81" s="26">
        <f>Source!P33</f>
        <v>14.37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>
        <f>T81</f>
        <v>1.1499999999999999</v>
      </c>
      <c r="GK81" s="26"/>
      <c r="GL81" s="26"/>
      <c r="GM81" s="26"/>
      <c r="GN81" s="26">
        <f>T81</f>
        <v>1.1499999999999999</v>
      </c>
      <c r="GO81" s="26"/>
      <c r="GP81" s="26">
        <f>T81</f>
        <v>1.1499999999999999</v>
      </c>
      <c r="GQ81" s="26">
        <f>T81</f>
        <v>1.1499999999999999</v>
      </c>
      <c r="GR81" s="26"/>
      <c r="GS81" s="26">
        <f>T81</f>
        <v>1.1499999999999999</v>
      </c>
      <c r="GT81" s="26"/>
      <c r="GU81" s="26"/>
      <c r="GV81" s="26"/>
      <c r="GW81" s="26">
        <f>ROUND(Source!AG33*Source!I33,2)</f>
        <v>0</v>
      </c>
      <c r="GX81" s="26">
        <f>ROUND(Source!AJ33*Source!I33,2)</f>
        <v>0</v>
      </c>
      <c r="GY81" s="26"/>
      <c r="GZ81" s="26"/>
      <c r="HA81" s="26"/>
      <c r="HB81" s="26"/>
      <c r="HC81" s="26">
        <f>T81</f>
        <v>1.1499999999999999</v>
      </c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</row>
    <row r="82" spans="1:255" x14ac:dyDescent="0.2">
      <c r="A82" s="111"/>
      <c r="B82" s="107"/>
      <c r="C82" s="107" t="s">
        <v>424</v>
      </c>
      <c r="D82" s="108"/>
      <c r="E82" s="109">
        <v>80</v>
      </c>
      <c r="F82" s="112" t="s">
        <v>425</v>
      </c>
      <c r="G82" s="110"/>
      <c r="H82" s="113">
        <f>ROUND((Source!AF33*Source!AV33+Source!AE33*Source!AV33)*(Source!FX33)/100,2)</f>
        <v>82.24</v>
      </c>
      <c r="I82" s="113">
        <f>T82</f>
        <v>6.58</v>
      </c>
      <c r="J82" s="115">
        <v>0.8</v>
      </c>
      <c r="K82" s="114">
        <f>U82</f>
        <v>82.24</v>
      </c>
      <c r="O82" s="26"/>
      <c r="P82" s="26"/>
      <c r="Q82" s="26"/>
      <c r="R82" s="26"/>
      <c r="S82" s="26"/>
      <c r="T82" s="26">
        <f>ROUND((ROUND(Source!AF33*Source!AV33*Source!I33,2)+ROUND(Source!AE33*Source!AV33*Source!I33,2))*(Source!FX33)/100,2)</f>
        <v>6.58</v>
      </c>
      <c r="U82" s="26">
        <f>Source!X33</f>
        <v>82.24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>
        <f>T82</f>
        <v>6.58</v>
      </c>
      <c r="GZ82" s="26"/>
      <c r="HA82" s="26"/>
      <c r="HB82" s="26"/>
      <c r="HC82" s="26">
        <f>T82</f>
        <v>6.58</v>
      </c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</row>
    <row r="83" spans="1:255" x14ac:dyDescent="0.2">
      <c r="A83" s="111"/>
      <c r="B83" s="107"/>
      <c r="C83" s="107" t="s">
        <v>426</v>
      </c>
      <c r="D83" s="108"/>
      <c r="E83" s="109">
        <v>60</v>
      </c>
      <c r="F83" s="112" t="s">
        <v>425</v>
      </c>
      <c r="G83" s="110"/>
      <c r="H83" s="113">
        <f>ROUND((Source!AF33*Source!AV33+Source!AE33*Source!AV33)*(Source!FY33)/100,2)</f>
        <v>61.68</v>
      </c>
      <c r="I83" s="113">
        <f>T83</f>
        <v>4.93</v>
      </c>
      <c r="J83" s="115">
        <v>0.6</v>
      </c>
      <c r="K83" s="114">
        <f>U83</f>
        <v>61.68</v>
      </c>
      <c r="O83" s="26"/>
      <c r="P83" s="26"/>
      <c r="Q83" s="26"/>
      <c r="R83" s="26"/>
      <c r="S83" s="26"/>
      <c r="T83" s="26">
        <f>ROUND((ROUND(Source!AF33*Source!AV33*Source!I33,2)+ROUND(Source!AE33*Source!AV33*Source!I33,2))*(Source!FY33)/100,2)</f>
        <v>4.93</v>
      </c>
      <c r="U83" s="26">
        <f>Source!Y33</f>
        <v>61.68</v>
      </c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>
        <f>T83</f>
        <v>4.93</v>
      </c>
      <c r="HA83" s="26"/>
      <c r="HB83" s="26"/>
      <c r="HC83" s="26">
        <f>T83</f>
        <v>4.93</v>
      </c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</row>
    <row r="84" spans="1:255" ht="13.5" thickBot="1" x14ac:dyDescent="0.25">
      <c r="A84" s="124"/>
      <c r="B84" s="125"/>
      <c r="C84" s="125" t="s">
        <v>427</v>
      </c>
      <c r="D84" s="126" t="s">
        <v>428</v>
      </c>
      <c r="E84" s="127">
        <v>9.27</v>
      </c>
      <c r="F84" s="128"/>
      <c r="G84" s="129"/>
      <c r="H84" s="128">
        <f>ROUND(Source!AH33,2)</f>
        <v>9.27</v>
      </c>
      <c r="I84" s="130">
        <f>Source!U33</f>
        <v>0.74159999999999993</v>
      </c>
      <c r="J84" s="128"/>
      <c r="K84" s="131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</row>
    <row r="85" spans="1:255" x14ac:dyDescent="0.2">
      <c r="A85" s="123"/>
      <c r="B85" s="122"/>
      <c r="C85" s="122"/>
      <c r="D85" s="122"/>
      <c r="E85" s="122"/>
      <c r="F85" s="122"/>
      <c r="G85" s="122"/>
      <c r="H85" s="132">
        <f>R85</f>
        <v>20.880000000000003</v>
      </c>
      <c r="I85" s="133"/>
      <c r="J85" s="132">
        <f>S85</f>
        <v>261.08999999999997</v>
      </c>
      <c r="K85" s="134"/>
      <c r="O85" s="26"/>
      <c r="P85" s="26"/>
      <c r="Q85" s="26"/>
      <c r="R85" s="26">
        <f>SUM(T79:T84)</f>
        <v>20.880000000000003</v>
      </c>
      <c r="S85" s="26">
        <f>SUM(U79:U84)</f>
        <v>261.08999999999997</v>
      </c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>
        <f>R85</f>
        <v>20.880000000000003</v>
      </c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</row>
    <row r="86" spans="1:255" ht="24" x14ac:dyDescent="0.2">
      <c r="A86" s="135">
        <v>6</v>
      </c>
      <c r="B86" s="143" t="s">
        <v>49</v>
      </c>
      <c r="C86" s="136" t="s">
        <v>50</v>
      </c>
      <c r="D86" s="137" t="s">
        <v>16</v>
      </c>
      <c r="E86" s="138">
        <v>0.36</v>
      </c>
      <c r="F86" s="139">
        <f>Source!AK35</f>
        <v>94.199999999999989</v>
      </c>
      <c r="G86" s="144" t="s">
        <v>3</v>
      </c>
      <c r="H86" s="139">
        <f>Source!AB35</f>
        <v>94.2</v>
      </c>
      <c r="I86" s="139"/>
      <c r="J86" s="142"/>
      <c r="K86" s="140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</row>
    <row r="87" spans="1:255" x14ac:dyDescent="0.2">
      <c r="A87" s="103"/>
      <c r="B87" s="98"/>
      <c r="C87" s="98" t="s">
        <v>423</v>
      </c>
      <c r="D87" s="99"/>
      <c r="E87" s="100"/>
      <c r="F87" s="104">
        <v>92.35</v>
      </c>
      <c r="G87" s="101"/>
      <c r="H87" s="104">
        <f>Source!AF35</f>
        <v>92.35</v>
      </c>
      <c r="I87" s="104">
        <f>T87</f>
        <v>33.25</v>
      </c>
      <c r="J87" s="102">
        <v>12.5</v>
      </c>
      <c r="K87" s="105">
        <f>U87</f>
        <v>415.58</v>
      </c>
      <c r="O87" s="26"/>
      <c r="P87" s="26"/>
      <c r="Q87" s="26"/>
      <c r="R87" s="26"/>
      <c r="S87" s="26"/>
      <c r="T87" s="26">
        <f>ROUND(Source!AF35*Source!AV35*Source!I35,2)</f>
        <v>33.25</v>
      </c>
      <c r="U87" s="26">
        <f>Source!S35</f>
        <v>415.58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>
        <f>T87</f>
        <v>33.25</v>
      </c>
      <c r="GK87" s="26">
        <f>T87</f>
        <v>33.25</v>
      </c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>
        <f>T87</f>
        <v>33.25</v>
      </c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</row>
    <row r="88" spans="1:255" x14ac:dyDescent="0.2">
      <c r="A88" s="120"/>
      <c r="B88" s="116"/>
      <c r="C88" s="116" t="s">
        <v>431</v>
      </c>
      <c r="D88" s="117"/>
      <c r="E88" s="118"/>
      <c r="F88" s="121">
        <v>1.85</v>
      </c>
      <c r="G88" s="119"/>
      <c r="H88" s="121">
        <f>Source!AC35</f>
        <v>1.85</v>
      </c>
      <c r="I88" s="121">
        <f>T88</f>
        <v>0.67</v>
      </c>
      <c r="J88" s="145">
        <v>12.5</v>
      </c>
      <c r="K88" s="146">
        <f>U88</f>
        <v>8.33</v>
      </c>
      <c r="O88" s="26"/>
      <c r="P88" s="26"/>
      <c r="Q88" s="26"/>
      <c r="R88" s="26"/>
      <c r="S88" s="26"/>
      <c r="T88" s="26">
        <f>ROUND(Source!AC35*Source!AW35*Source!I35,2)</f>
        <v>0.67</v>
      </c>
      <c r="U88" s="26">
        <f>Source!P35</f>
        <v>8.33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>
        <f>T88</f>
        <v>0.67</v>
      </c>
      <c r="GK88" s="26"/>
      <c r="GL88" s="26"/>
      <c r="GM88" s="26"/>
      <c r="GN88" s="26">
        <f>T88</f>
        <v>0.67</v>
      </c>
      <c r="GO88" s="26"/>
      <c r="GP88" s="26">
        <f>T88</f>
        <v>0.67</v>
      </c>
      <c r="GQ88" s="26">
        <f>T88</f>
        <v>0.67</v>
      </c>
      <c r="GR88" s="26"/>
      <c r="GS88" s="26">
        <f>T88</f>
        <v>0.67</v>
      </c>
      <c r="GT88" s="26"/>
      <c r="GU88" s="26"/>
      <c r="GV88" s="26"/>
      <c r="GW88" s="26">
        <f>ROUND(Source!AG35*Source!I35,2)</f>
        <v>0</v>
      </c>
      <c r="GX88" s="26">
        <f>ROUND(Source!AJ35*Source!I35,2)</f>
        <v>0</v>
      </c>
      <c r="GY88" s="26"/>
      <c r="GZ88" s="26"/>
      <c r="HA88" s="26"/>
      <c r="HB88" s="26"/>
      <c r="HC88" s="26">
        <f>T88</f>
        <v>0.67</v>
      </c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</row>
    <row r="89" spans="1:255" x14ac:dyDescent="0.2">
      <c r="A89" s="111"/>
      <c r="B89" s="107"/>
      <c r="C89" s="107" t="s">
        <v>424</v>
      </c>
      <c r="D89" s="108"/>
      <c r="E89" s="109">
        <v>95</v>
      </c>
      <c r="F89" s="112" t="s">
        <v>425</v>
      </c>
      <c r="G89" s="110"/>
      <c r="H89" s="113">
        <f>ROUND((Source!AF35*Source!AV35+Source!AE35*Source!AV35)*(Source!FX35)/100,2)</f>
        <v>87.73</v>
      </c>
      <c r="I89" s="113">
        <f>T89</f>
        <v>31.59</v>
      </c>
      <c r="J89" s="115">
        <v>0.95</v>
      </c>
      <c r="K89" s="114">
        <f>U89</f>
        <v>394.8</v>
      </c>
      <c r="O89" s="26"/>
      <c r="P89" s="26"/>
      <c r="Q89" s="26"/>
      <c r="R89" s="26"/>
      <c r="S89" s="26"/>
      <c r="T89" s="26">
        <f>ROUND((ROUND(Source!AF35*Source!AV35*Source!I35,2)+ROUND(Source!AE35*Source!AV35*Source!I35,2))*(Source!FX35)/100,2)</f>
        <v>31.59</v>
      </c>
      <c r="U89" s="26">
        <f>Source!X35</f>
        <v>394.8</v>
      </c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>
        <f>T89</f>
        <v>31.59</v>
      </c>
      <c r="GZ89" s="26"/>
      <c r="HA89" s="26"/>
      <c r="HB89" s="26"/>
      <c r="HC89" s="26">
        <f>T89</f>
        <v>31.59</v>
      </c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</row>
    <row r="90" spans="1:255" x14ac:dyDescent="0.2">
      <c r="A90" s="111"/>
      <c r="B90" s="107"/>
      <c r="C90" s="107" t="s">
        <v>426</v>
      </c>
      <c r="D90" s="108"/>
      <c r="E90" s="109">
        <v>65</v>
      </c>
      <c r="F90" s="112" t="s">
        <v>425</v>
      </c>
      <c r="G90" s="110"/>
      <c r="H90" s="113">
        <f>ROUND((Source!AF35*Source!AV35+Source!AE35*Source!AV35)*(Source!FY35)/100,2)</f>
        <v>60.03</v>
      </c>
      <c r="I90" s="113">
        <f>T90</f>
        <v>21.61</v>
      </c>
      <c r="J90" s="115">
        <v>0.65</v>
      </c>
      <c r="K90" s="114">
        <f>U90</f>
        <v>270.13</v>
      </c>
      <c r="O90" s="26"/>
      <c r="P90" s="26"/>
      <c r="Q90" s="26"/>
      <c r="R90" s="26"/>
      <c r="S90" s="26"/>
      <c r="T90" s="26">
        <f>ROUND((ROUND(Source!AF35*Source!AV35*Source!I35,2)+ROUND(Source!AE35*Source!AV35*Source!I35,2))*(Source!FY35)/100,2)</f>
        <v>21.61</v>
      </c>
      <c r="U90" s="26">
        <f>Source!Y35</f>
        <v>270.13</v>
      </c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>
        <f>T90</f>
        <v>21.61</v>
      </c>
      <c r="HA90" s="26"/>
      <c r="HB90" s="26"/>
      <c r="HC90" s="26">
        <f>T90</f>
        <v>21.61</v>
      </c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</row>
    <row r="91" spans="1:255" ht="13.5" thickBot="1" x14ac:dyDescent="0.25">
      <c r="A91" s="124"/>
      <c r="B91" s="125"/>
      <c r="C91" s="125" t="s">
        <v>427</v>
      </c>
      <c r="D91" s="126" t="s">
        <v>428</v>
      </c>
      <c r="E91" s="127">
        <v>9.6</v>
      </c>
      <c r="F91" s="128"/>
      <c r="G91" s="129"/>
      <c r="H91" s="128">
        <f>ROUND(Source!AH35,2)</f>
        <v>9.6</v>
      </c>
      <c r="I91" s="130">
        <f>Source!U35</f>
        <v>3.456</v>
      </c>
      <c r="J91" s="128"/>
      <c r="K91" s="131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</row>
    <row r="92" spans="1:255" x14ac:dyDescent="0.2">
      <c r="A92" s="123"/>
      <c r="B92" s="122"/>
      <c r="C92" s="122"/>
      <c r="D92" s="122"/>
      <c r="E92" s="122"/>
      <c r="F92" s="122"/>
      <c r="G92" s="122"/>
      <c r="H92" s="132">
        <f>R92</f>
        <v>87.12</v>
      </c>
      <c r="I92" s="133"/>
      <c r="J92" s="132">
        <f>S92</f>
        <v>1088.8400000000001</v>
      </c>
      <c r="K92" s="134"/>
      <c r="O92" s="26"/>
      <c r="P92" s="26"/>
      <c r="Q92" s="26"/>
      <c r="R92" s="26">
        <f>SUM(T86:T91)</f>
        <v>87.12</v>
      </c>
      <c r="S92" s="26">
        <f>SUM(U86:U91)</f>
        <v>1088.8400000000001</v>
      </c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>
        <f>R92</f>
        <v>87.12</v>
      </c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</row>
    <row r="93" spans="1:255" ht="24" x14ac:dyDescent="0.2">
      <c r="A93" s="135">
        <v>7</v>
      </c>
      <c r="B93" s="143" t="s">
        <v>53</v>
      </c>
      <c r="C93" s="136" t="s">
        <v>54</v>
      </c>
      <c r="D93" s="137" t="s">
        <v>44</v>
      </c>
      <c r="E93" s="138">
        <v>0.1</v>
      </c>
      <c r="F93" s="139">
        <f>Source!AK37</f>
        <v>1059.04</v>
      </c>
      <c r="G93" s="144" t="s">
        <v>3</v>
      </c>
      <c r="H93" s="139">
        <f>Source!AB37</f>
        <v>1059.04</v>
      </c>
      <c r="I93" s="139"/>
      <c r="J93" s="142"/>
      <c r="K93" s="140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</row>
    <row r="94" spans="1:255" x14ac:dyDescent="0.2">
      <c r="A94" s="103"/>
      <c r="B94" s="98"/>
      <c r="C94" s="98" t="s">
        <v>423</v>
      </c>
      <c r="D94" s="99"/>
      <c r="E94" s="100"/>
      <c r="F94" s="104">
        <v>385.48</v>
      </c>
      <c r="G94" s="101"/>
      <c r="H94" s="104">
        <f>Source!AF37</f>
        <v>385.48</v>
      </c>
      <c r="I94" s="104">
        <f>T94</f>
        <v>38.549999999999997</v>
      </c>
      <c r="J94" s="102">
        <v>12.5</v>
      </c>
      <c r="K94" s="105">
        <f>U94</f>
        <v>481.85</v>
      </c>
      <c r="O94" s="26"/>
      <c r="P94" s="26"/>
      <c r="Q94" s="26"/>
      <c r="R94" s="26"/>
      <c r="S94" s="26"/>
      <c r="T94" s="26">
        <f>ROUND(Source!AF37*Source!AV37*Source!I37,2)</f>
        <v>38.549999999999997</v>
      </c>
      <c r="U94" s="26">
        <f>Source!S37</f>
        <v>481.85</v>
      </c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>
        <f>T94</f>
        <v>38.549999999999997</v>
      </c>
      <c r="GK94" s="26">
        <f>T94</f>
        <v>38.549999999999997</v>
      </c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>
        <f>T94</f>
        <v>38.549999999999997</v>
      </c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</row>
    <row r="95" spans="1:255" x14ac:dyDescent="0.2">
      <c r="A95" s="120"/>
      <c r="B95" s="116"/>
      <c r="C95" s="116" t="s">
        <v>429</v>
      </c>
      <c r="D95" s="117"/>
      <c r="E95" s="118"/>
      <c r="F95" s="121">
        <v>156.58000000000001</v>
      </c>
      <c r="G95" s="119"/>
      <c r="H95" s="121">
        <f>Source!AD37</f>
        <v>156.58000000000001</v>
      </c>
      <c r="I95" s="121">
        <f>T95</f>
        <v>15.66</v>
      </c>
      <c r="J95" s="145">
        <v>12.5</v>
      </c>
      <c r="K95" s="146">
        <f>U95</f>
        <v>195.73</v>
      </c>
      <c r="O95" s="26"/>
      <c r="P95" s="26"/>
      <c r="Q95" s="26"/>
      <c r="R95" s="26"/>
      <c r="S95" s="26"/>
      <c r="T95" s="26">
        <f>ROUND(Source!AD37*Source!AV37*Source!I37,2)</f>
        <v>15.66</v>
      </c>
      <c r="U95" s="26">
        <f>Source!Q37</f>
        <v>195.73</v>
      </c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>
        <f>T95</f>
        <v>15.66</v>
      </c>
      <c r="GK95" s="26"/>
      <c r="GL95" s="26">
        <f>T95</f>
        <v>15.66</v>
      </c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>
        <f>T95</f>
        <v>15.66</v>
      </c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</row>
    <row r="96" spans="1:255" x14ac:dyDescent="0.2">
      <c r="A96" s="120"/>
      <c r="B96" s="116"/>
      <c r="C96" s="116" t="s">
        <v>430</v>
      </c>
      <c r="D96" s="117"/>
      <c r="E96" s="118"/>
      <c r="F96" s="121">
        <v>17.5</v>
      </c>
      <c r="G96" s="119"/>
      <c r="H96" s="121">
        <f>Source!AE37</f>
        <v>17.5</v>
      </c>
      <c r="I96" s="121">
        <f>GM96</f>
        <v>1.75</v>
      </c>
      <c r="J96" s="145">
        <v>12.5</v>
      </c>
      <c r="K96" s="146">
        <f>Source!R37</f>
        <v>21.88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>
        <f>ROUND(Source!AE37*Source!AV37*Source!I37,2)</f>
        <v>1.75</v>
      </c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</row>
    <row r="97" spans="1:255" x14ac:dyDescent="0.2">
      <c r="A97" s="120"/>
      <c r="B97" s="116"/>
      <c r="C97" s="116" t="s">
        <v>431</v>
      </c>
      <c r="D97" s="117"/>
      <c r="E97" s="118"/>
      <c r="F97" s="121">
        <v>516.98</v>
      </c>
      <c r="G97" s="119"/>
      <c r="H97" s="121">
        <f>Source!AC37</f>
        <v>516.98</v>
      </c>
      <c r="I97" s="121">
        <f>T97</f>
        <v>51.7</v>
      </c>
      <c r="J97" s="145">
        <v>12.5</v>
      </c>
      <c r="K97" s="146">
        <f>U97</f>
        <v>646.23</v>
      </c>
      <c r="O97" s="26"/>
      <c r="P97" s="26"/>
      <c r="Q97" s="26"/>
      <c r="R97" s="26"/>
      <c r="S97" s="26"/>
      <c r="T97" s="26">
        <f>ROUND(Source!AC37*Source!AW37*Source!I37,2)</f>
        <v>51.7</v>
      </c>
      <c r="U97" s="26">
        <f>Source!P37</f>
        <v>646.23</v>
      </c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>
        <f>T97</f>
        <v>51.7</v>
      </c>
      <c r="GK97" s="26"/>
      <c r="GL97" s="26"/>
      <c r="GM97" s="26"/>
      <c r="GN97" s="26">
        <f>T97</f>
        <v>51.7</v>
      </c>
      <c r="GO97" s="26"/>
      <c r="GP97" s="26">
        <f>T97</f>
        <v>51.7</v>
      </c>
      <c r="GQ97" s="26">
        <f>T97</f>
        <v>51.7</v>
      </c>
      <c r="GR97" s="26"/>
      <c r="GS97" s="26">
        <f>T97</f>
        <v>51.7</v>
      </c>
      <c r="GT97" s="26"/>
      <c r="GU97" s="26"/>
      <c r="GV97" s="26"/>
      <c r="GW97" s="26">
        <f>ROUND(Source!AG37*Source!I37,2)</f>
        <v>0</v>
      </c>
      <c r="GX97" s="26">
        <f>ROUND(Source!AJ37*Source!I37,2)</f>
        <v>0</v>
      </c>
      <c r="GY97" s="26"/>
      <c r="GZ97" s="26"/>
      <c r="HA97" s="26"/>
      <c r="HB97" s="26"/>
      <c r="HC97" s="26">
        <f>T97</f>
        <v>51.7</v>
      </c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</row>
    <row r="98" spans="1:255" x14ac:dyDescent="0.2">
      <c r="A98" s="111"/>
      <c r="B98" s="107"/>
      <c r="C98" s="107" t="s">
        <v>424</v>
      </c>
      <c r="D98" s="108"/>
      <c r="E98" s="109">
        <v>80</v>
      </c>
      <c r="F98" s="112" t="s">
        <v>425</v>
      </c>
      <c r="G98" s="110"/>
      <c r="H98" s="113">
        <f>ROUND((Source!AF37*Source!AV37+Source!AE37*Source!AV37)*(Source!FX37)/100,2)</f>
        <v>322.38</v>
      </c>
      <c r="I98" s="113">
        <f>T98</f>
        <v>32.24</v>
      </c>
      <c r="J98" s="115">
        <v>0.8</v>
      </c>
      <c r="K98" s="114">
        <f>U98</f>
        <v>402.98</v>
      </c>
      <c r="O98" s="26"/>
      <c r="P98" s="26"/>
      <c r="Q98" s="26"/>
      <c r="R98" s="26"/>
      <c r="S98" s="26"/>
      <c r="T98" s="26">
        <f>ROUND((ROUND(Source!AF37*Source!AV37*Source!I37,2)+ROUND(Source!AE37*Source!AV37*Source!I37,2))*(Source!FX37)/100,2)</f>
        <v>32.24</v>
      </c>
      <c r="U98" s="26">
        <f>Source!X37</f>
        <v>402.98</v>
      </c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>
        <f>T98</f>
        <v>32.24</v>
      </c>
      <c r="GZ98" s="26"/>
      <c r="HA98" s="26"/>
      <c r="HB98" s="26"/>
      <c r="HC98" s="26">
        <f>T98</f>
        <v>32.24</v>
      </c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</row>
    <row r="99" spans="1:255" x14ac:dyDescent="0.2">
      <c r="A99" s="111"/>
      <c r="B99" s="107"/>
      <c r="C99" s="107" t="s">
        <v>426</v>
      </c>
      <c r="D99" s="108"/>
      <c r="E99" s="109">
        <v>60</v>
      </c>
      <c r="F99" s="112" t="s">
        <v>425</v>
      </c>
      <c r="G99" s="110"/>
      <c r="H99" s="113">
        <f>ROUND((Source!AF37*Source!AV37+Source!AE37*Source!AV37)*(Source!FY37)/100,2)</f>
        <v>241.79</v>
      </c>
      <c r="I99" s="113">
        <f>T99</f>
        <v>24.18</v>
      </c>
      <c r="J99" s="115">
        <v>0.6</v>
      </c>
      <c r="K99" s="114">
        <f>U99</f>
        <v>302.24</v>
      </c>
      <c r="O99" s="26"/>
      <c r="P99" s="26"/>
      <c r="Q99" s="26"/>
      <c r="R99" s="26"/>
      <c r="S99" s="26"/>
      <c r="T99" s="26">
        <f>ROUND((ROUND(Source!AF37*Source!AV37*Source!I37,2)+ROUND(Source!AE37*Source!AV37*Source!I37,2))*(Source!FY37)/100,2)</f>
        <v>24.18</v>
      </c>
      <c r="U99" s="26">
        <f>Source!Y37</f>
        <v>302.24</v>
      </c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>
        <f>T99</f>
        <v>24.18</v>
      </c>
      <c r="HA99" s="26"/>
      <c r="HB99" s="26"/>
      <c r="HC99" s="26">
        <f>T99</f>
        <v>24.18</v>
      </c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</row>
    <row r="100" spans="1:255" ht="13.5" thickBot="1" x14ac:dyDescent="0.25">
      <c r="A100" s="124"/>
      <c r="B100" s="125"/>
      <c r="C100" s="125" t="s">
        <v>427</v>
      </c>
      <c r="D100" s="126" t="s">
        <v>428</v>
      </c>
      <c r="E100" s="127">
        <v>42.5</v>
      </c>
      <c r="F100" s="128"/>
      <c r="G100" s="129"/>
      <c r="H100" s="128">
        <f>ROUND(Source!AH37,2)</f>
        <v>42.5</v>
      </c>
      <c r="I100" s="130">
        <f>Source!U37</f>
        <v>4.25</v>
      </c>
      <c r="J100" s="128"/>
      <c r="K100" s="131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</row>
    <row r="101" spans="1:255" x14ac:dyDescent="0.2">
      <c r="A101" s="123"/>
      <c r="B101" s="122"/>
      <c r="C101" s="122"/>
      <c r="D101" s="122"/>
      <c r="E101" s="122"/>
      <c r="F101" s="122"/>
      <c r="G101" s="122"/>
      <c r="H101" s="132">
        <f>R101</f>
        <v>162.33000000000001</v>
      </c>
      <c r="I101" s="133"/>
      <c r="J101" s="132">
        <f>S101</f>
        <v>2029.03</v>
      </c>
      <c r="K101" s="134"/>
      <c r="O101" s="26"/>
      <c r="P101" s="26"/>
      <c r="Q101" s="26"/>
      <c r="R101" s="26">
        <f>SUM(T93:T100)</f>
        <v>162.33000000000001</v>
      </c>
      <c r="S101" s="26">
        <f>SUM(U93:U100)</f>
        <v>2029.03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>
        <f>R101</f>
        <v>162.33000000000001</v>
      </c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</row>
    <row r="102" spans="1:255" ht="36" x14ac:dyDescent="0.2">
      <c r="A102" s="135">
        <v>8</v>
      </c>
      <c r="B102" s="143" t="s">
        <v>59</v>
      </c>
      <c r="C102" s="136" t="s">
        <v>60</v>
      </c>
      <c r="D102" s="137" t="s">
        <v>32</v>
      </c>
      <c r="E102" s="138">
        <v>1</v>
      </c>
      <c r="F102" s="139">
        <f>Source!AK39</f>
        <v>20.75</v>
      </c>
      <c r="G102" s="144" t="s">
        <v>3</v>
      </c>
      <c r="H102" s="139">
        <f>Source!AB39</f>
        <v>20.75</v>
      </c>
      <c r="I102" s="139"/>
      <c r="J102" s="142"/>
      <c r="K102" s="140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</row>
    <row r="103" spans="1:255" x14ac:dyDescent="0.2">
      <c r="A103" s="103"/>
      <c r="B103" s="98"/>
      <c r="C103" s="98" t="s">
        <v>423</v>
      </c>
      <c r="D103" s="99"/>
      <c r="E103" s="100"/>
      <c r="F103" s="104">
        <v>20.75</v>
      </c>
      <c r="G103" s="101"/>
      <c r="H103" s="104">
        <f>Source!AF39</f>
        <v>20.75</v>
      </c>
      <c r="I103" s="104">
        <f>T103</f>
        <v>20.75</v>
      </c>
      <c r="J103" s="102">
        <v>18.3</v>
      </c>
      <c r="K103" s="105">
        <f>U103</f>
        <v>379.73</v>
      </c>
      <c r="O103" s="26"/>
      <c r="P103" s="26"/>
      <c r="Q103" s="26"/>
      <c r="R103" s="26"/>
      <c r="S103" s="26"/>
      <c r="T103" s="26">
        <f>ROUND(Source!AF39*Source!AV39*Source!I39,2)</f>
        <v>20.75</v>
      </c>
      <c r="U103" s="26">
        <f>Source!S39</f>
        <v>379.73</v>
      </c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>
        <f>T103</f>
        <v>20.75</v>
      </c>
      <c r="GK103" s="26">
        <f>T103</f>
        <v>20.75</v>
      </c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>
        <f>T103</f>
        <v>20.75</v>
      </c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</row>
    <row r="104" spans="1:255" x14ac:dyDescent="0.2">
      <c r="A104" s="111"/>
      <c r="B104" s="107"/>
      <c r="C104" s="107" t="s">
        <v>424</v>
      </c>
      <c r="D104" s="108"/>
      <c r="E104" s="109">
        <v>65</v>
      </c>
      <c r="F104" s="112" t="s">
        <v>425</v>
      </c>
      <c r="G104" s="110"/>
      <c r="H104" s="113">
        <f>ROUND((Source!AF39*Source!AV39+Source!AE39*Source!AV39)*(Source!FX39)/100,2)</f>
        <v>13.49</v>
      </c>
      <c r="I104" s="113">
        <f>T104</f>
        <v>13.49</v>
      </c>
      <c r="J104" s="115">
        <v>0.65</v>
      </c>
      <c r="K104" s="114">
        <f>U104</f>
        <v>246.82</v>
      </c>
      <c r="O104" s="26"/>
      <c r="P104" s="26"/>
      <c r="Q104" s="26"/>
      <c r="R104" s="26"/>
      <c r="S104" s="26"/>
      <c r="T104" s="26">
        <f>ROUND((ROUND(Source!AF39*Source!AV39*Source!I39,2)+ROUND(Source!AE39*Source!AV39*Source!I39,2))*(Source!FX39)/100,2)</f>
        <v>13.49</v>
      </c>
      <c r="U104" s="26">
        <f>Source!X39</f>
        <v>246.82</v>
      </c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>
        <f>T104</f>
        <v>13.49</v>
      </c>
      <c r="GZ104" s="26"/>
      <c r="HA104" s="26"/>
      <c r="HB104" s="26"/>
      <c r="HC104" s="26"/>
      <c r="HD104" s="26"/>
      <c r="HE104" s="26">
        <f>T104</f>
        <v>13.49</v>
      </c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</row>
    <row r="105" spans="1:255" x14ac:dyDescent="0.2">
      <c r="A105" s="111"/>
      <c r="B105" s="107"/>
      <c r="C105" s="107" t="s">
        <v>426</v>
      </c>
      <c r="D105" s="108"/>
      <c r="E105" s="109">
        <v>40</v>
      </c>
      <c r="F105" s="112" t="s">
        <v>425</v>
      </c>
      <c r="G105" s="110"/>
      <c r="H105" s="113">
        <f>ROUND((Source!AF39*Source!AV39+Source!AE39*Source!AV39)*(Source!FY39)/100,2)</f>
        <v>8.3000000000000007</v>
      </c>
      <c r="I105" s="113">
        <f>T105</f>
        <v>8.3000000000000007</v>
      </c>
      <c r="J105" s="115">
        <v>0.4</v>
      </c>
      <c r="K105" s="114">
        <f>U105</f>
        <v>151.88999999999999</v>
      </c>
      <c r="O105" s="26"/>
      <c r="P105" s="26"/>
      <c r="Q105" s="26"/>
      <c r="R105" s="26"/>
      <c r="S105" s="26"/>
      <c r="T105" s="26">
        <f>ROUND((ROUND(Source!AF39*Source!AV39*Source!I39,2)+ROUND(Source!AE39*Source!AV39*Source!I39,2))*(Source!FY39)/100,2)</f>
        <v>8.3000000000000007</v>
      </c>
      <c r="U105" s="26">
        <f>Source!Y39</f>
        <v>151.88999999999999</v>
      </c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>
        <f>T105</f>
        <v>8.3000000000000007</v>
      </c>
      <c r="HA105" s="26"/>
      <c r="HB105" s="26"/>
      <c r="HC105" s="26"/>
      <c r="HD105" s="26"/>
      <c r="HE105" s="26">
        <f>T105</f>
        <v>8.3000000000000007</v>
      </c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</row>
    <row r="106" spans="1:255" ht="13.5" thickBot="1" x14ac:dyDescent="0.25">
      <c r="A106" s="124"/>
      <c r="B106" s="125"/>
      <c r="C106" s="125" t="s">
        <v>427</v>
      </c>
      <c r="D106" s="126" t="s">
        <v>428</v>
      </c>
      <c r="E106" s="127">
        <v>1.62</v>
      </c>
      <c r="F106" s="128"/>
      <c r="G106" s="129"/>
      <c r="H106" s="128">
        <f>ROUND(Source!AH39,2)</f>
        <v>1.62</v>
      </c>
      <c r="I106" s="130">
        <f>Source!U39</f>
        <v>1.62</v>
      </c>
      <c r="J106" s="128"/>
      <c r="K106" s="131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</row>
    <row r="107" spans="1:255" x14ac:dyDescent="0.2">
      <c r="A107" s="123"/>
      <c r="B107" s="122"/>
      <c r="C107" s="122"/>
      <c r="D107" s="122"/>
      <c r="E107" s="122"/>
      <c r="F107" s="122"/>
      <c r="G107" s="122"/>
      <c r="H107" s="132">
        <f>R107</f>
        <v>42.540000000000006</v>
      </c>
      <c r="I107" s="133"/>
      <c r="J107" s="132">
        <f>S107</f>
        <v>778.43999999999994</v>
      </c>
      <c r="K107" s="134"/>
      <c r="O107" s="26"/>
      <c r="P107" s="26"/>
      <c r="Q107" s="26"/>
      <c r="R107" s="26">
        <f>SUM(T102:T106)</f>
        <v>42.540000000000006</v>
      </c>
      <c r="S107" s="26">
        <f>SUM(U102:U106)</f>
        <v>778.43999999999994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>
        <f>R107</f>
        <v>42.540000000000006</v>
      </c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</row>
    <row r="108" spans="1:255" ht="36" x14ac:dyDescent="0.2">
      <c r="A108" s="135">
        <v>9</v>
      </c>
      <c r="B108" s="143" t="s">
        <v>66</v>
      </c>
      <c r="C108" s="136" t="s">
        <v>31</v>
      </c>
      <c r="D108" s="137" t="s">
        <v>67</v>
      </c>
      <c r="E108" s="138">
        <v>1</v>
      </c>
      <c r="F108" s="139">
        <f>Source!AK41</f>
        <v>1143.25</v>
      </c>
      <c r="G108" s="144" t="s">
        <v>3</v>
      </c>
      <c r="H108" s="139">
        <f>Source!AB41</f>
        <v>1143.25</v>
      </c>
      <c r="I108" s="139"/>
      <c r="J108" s="142"/>
      <c r="K108" s="140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</row>
    <row r="109" spans="1:255" x14ac:dyDescent="0.2">
      <c r="A109" s="103"/>
      <c r="B109" s="98"/>
      <c r="C109" s="98" t="s">
        <v>423</v>
      </c>
      <c r="D109" s="99"/>
      <c r="E109" s="100"/>
      <c r="F109" s="104">
        <v>275.04000000000002</v>
      </c>
      <c r="G109" s="101"/>
      <c r="H109" s="104">
        <f>Source!AF41</f>
        <v>275.04000000000002</v>
      </c>
      <c r="I109" s="104">
        <f>T109</f>
        <v>275.04000000000002</v>
      </c>
      <c r="J109" s="102">
        <v>12.5</v>
      </c>
      <c r="K109" s="105">
        <f>U109</f>
        <v>3438</v>
      </c>
      <c r="O109" s="26"/>
      <c r="P109" s="26"/>
      <c r="Q109" s="26"/>
      <c r="R109" s="26"/>
      <c r="S109" s="26"/>
      <c r="T109" s="26">
        <f>ROUND(Source!AF41*Source!AV41*Source!I41,2)</f>
        <v>275.04000000000002</v>
      </c>
      <c r="U109" s="26">
        <f>Source!S41</f>
        <v>3438</v>
      </c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>
        <f>T109</f>
        <v>275.04000000000002</v>
      </c>
      <c r="GK109" s="26">
        <f>T109</f>
        <v>275.04000000000002</v>
      </c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>
        <f>T109</f>
        <v>275.04000000000002</v>
      </c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</row>
    <row r="110" spans="1:255" x14ac:dyDescent="0.2">
      <c r="A110" s="120"/>
      <c r="B110" s="116"/>
      <c r="C110" s="116" t="s">
        <v>429</v>
      </c>
      <c r="D110" s="117"/>
      <c r="E110" s="118"/>
      <c r="F110" s="121">
        <v>868.21</v>
      </c>
      <c r="G110" s="119"/>
      <c r="H110" s="121">
        <f>Source!AD41</f>
        <v>868.21</v>
      </c>
      <c r="I110" s="121">
        <f>T110</f>
        <v>868.21</v>
      </c>
      <c r="J110" s="145">
        <v>12.5</v>
      </c>
      <c r="K110" s="146">
        <f>U110</f>
        <v>10852.63</v>
      </c>
      <c r="O110" s="26"/>
      <c r="P110" s="26"/>
      <c r="Q110" s="26"/>
      <c r="R110" s="26"/>
      <c r="S110" s="26"/>
      <c r="T110" s="26">
        <f>ROUND(Source!AD41*Source!AV41*Source!I41,2)</f>
        <v>868.21</v>
      </c>
      <c r="U110" s="26">
        <f>Source!Q41</f>
        <v>10852.63</v>
      </c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>
        <f>T110</f>
        <v>868.21</v>
      </c>
      <c r="GK110" s="26"/>
      <c r="GL110" s="26">
        <f>T110</f>
        <v>868.21</v>
      </c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>
        <f>T110</f>
        <v>868.21</v>
      </c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</row>
    <row r="111" spans="1:255" x14ac:dyDescent="0.2">
      <c r="A111" s="120"/>
      <c r="B111" s="116"/>
      <c r="C111" s="116" t="s">
        <v>430</v>
      </c>
      <c r="D111" s="117"/>
      <c r="E111" s="118"/>
      <c r="F111" s="121">
        <v>110.79</v>
      </c>
      <c r="G111" s="119"/>
      <c r="H111" s="121">
        <f>Source!AE41</f>
        <v>110.79</v>
      </c>
      <c r="I111" s="121">
        <f>GM111</f>
        <v>110.79</v>
      </c>
      <c r="J111" s="145">
        <v>12.5</v>
      </c>
      <c r="K111" s="146">
        <f>Source!R41</f>
        <v>1384.88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>
        <f>ROUND(Source!AE41*Source!AV41*Source!I41,2)</f>
        <v>110.79</v>
      </c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</row>
    <row r="112" spans="1:255" x14ac:dyDescent="0.2">
      <c r="A112" s="111"/>
      <c r="B112" s="107"/>
      <c r="C112" s="107" t="s">
        <v>424</v>
      </c>
      <c r="D112" s="108"/>
      <c r="E112" s="109">
        <v>105</v>
      </c>
      <c r="F112" s="112" t="s">
        <v>425</v>
      </c>
      <c r="G112" s="110"/>
      <c r="H112" s="113">
        <f>ROUND((Source!AF41*Source!AV41+Source!AE41*Source!AV41)*(Source!FX41)/100,2)</f>
        <v>405.12</v>
      </c>
      <c r="I112" s="113">
        <f>T112</f>
        <v>405.12</v>
      </c>
      <c r="J112" s="115">
        <v>1.05</v>
      </c>
      <c r="K112" s="114">
        <f>U112</f>
        <v>5064.0200000000004</v>
      </c>
      <c r="O112" s="26"/>
      <c r="P112" s="26"/>
      <c r="Q112" s="26"/>
      <c r="R112" s="26"/>
      <c r="S112" s="26"/>
      <c r="T112" s="26">
        <f>ROUND((ROUND(Source!AF41*Source!AV41*Source!I41,2)+ROUND(Source!AE41*Source!AV41*Source!I41,2))*(Source!FX41)/100,2)</f>
        <v>405.12</v>
      </c>
      <c r="U112" s="26">
        <f>Source!X41</f>
        <v>5064.0200000000004</v>
      </c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>
        <f>T112</f>
        <v>405.12</v>
      </c>
      <c r="GZ112" s="26"/>
      <c r="HA112" s="26"/>
      <c r="HB112" s="26">
        <f>T112</f>
        <v>405.12</v>
      </c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</row>
    <row r="113" spans="1:255" x14ac:dyDescent="0.2">
      <c r="A113" s="111"/>
      <c r="B113" s="107"/>
      <c r="C113" s="107" t="s">
        <v>426</v>
      </c>
      <c r="D113" s="108"/>
      <c r="E113" s="109">
        <v>60</v>
      </c>
      <c r="F113" s="112" t="s">
        <v>425</v>
      </c>
      <c r="G113" s="110"/>
      <c r="H113" s="113">
        <f>ROUND((Source!AF41*Source!AV41+Source!AE41*Source!AV41)*(Source!FY41)/100,2)</f>
        <v>231.5</v>
      </c>
      <c r="I113" s="113">
        <f>T113</f>
        <v>231.5</v>
      </c>
      <c r="J113" s="115">
        <v>0.6</v>
      </c>
      <c r="K113" s="114">
        <f>U113</f>
        <v>2893.73</v>
      </c>
      <c r="O113" s="26"/>
      <c r="P113" s="26"/>
      <c r="Q113" s="26"/>
      <c r="R113" s="26"/>
      <c r="S113" s="26"/>
      <c r="T113" s="26">
        <f>ROUND((ROUND(Source!AF41*Source!AV41*Source!I41,2)+ROUND(Source!AE41*Source!AV41*Source!I41,2))*(Source!FY41)/100,2)</f>
        <v>231.5</v>
      </c>
      <c r="U113" s="26">
        <f>Source!Y41</f>
        <v>2893.73</v>
      </c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>
        <f>T113</f>
        <v>231.5</v>
      </c>
      <c r="HA113" s="26"/>
      <c r="HB113" s="26">
        <f>T113</f>
        <v>231.5</v>
      </c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</row>
    <row r="114" spans="1:255" ht="13.5" thickBot="1" x14ac:dyDescent="0.25">
      <c r="A114" s="124"/>
      <c r="B114" s="125"/>
      <c r="C114" s="125" t="s">
        <v>427</v>
      </c>
      <c r="D114" s="126" t="s">
        <v>428</v>
      </c>
      <c r="E114" s="127">
        <v>28.59</v>
      </c>
      <c r="F114" s="128"/>
      <c r="G114" s="129"/>
      <c r="H114" s="128">
        <f>ROUND(Source!AH41,2)</f>
        <v>28.59</v>
      </c>
      <c r="I114" s="130">
        <f>Source!U41</f>
        <v>28.59</v>
      </c>
      <c r="J114" s="128"/>
      <c r="K114" s="131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</row>
    <row r="115" spans="1:255" x14ac:dyDescent="0.2">
      <c r="A115" s="123"/>
      <c r="B115" s="122"/>
      <c r="C115" s="122"/>
      <c r="D115" s="122"/>
      <c r="E115" s="122"/>
      <c r="F115" s="122"/>
      <c r="G115" s="122"/>
      <c r="H115" s="132">
        <f>R115</f>
        <v>1779.87</v>
      </c>
      <c r="I115" s="133"/>
      <c r="J115" s="132">
        <f>S115</f>
        <v>22248.38</v>
      </c>
      <c r="K115" s="134"/>
      <c r="O115" s="26"/>
      <c r="P115" s="26"/>
      <c r="Q115" s="26"/>
      <c r="R115" s="26">
        <f>SUM(T108:T114)</f>
        <v>1779.87</v>
      </c>
      <c r="S115" s="26">
        <f>SUM(U108:U114)</f>
        <v>22248.38</v>
      </c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>
        <f>R115</f>
        <v>1779.87</v>
      </c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</row>
    <row r="116" spans="1:255" x14ac:dyDescent="0.2">
      <c r="A116" s="147">
        <v>10</v>
      </c>
      <c r="B116" s="154" t="s">
        <v>72</v>
      </c>
      <c r="C116" s="148" t="s">
        <v>73</v>
      </c>
      <c r="D116" s="149" t="s">
        <v>32</v>
      </c>
      <c r="E116" s="150">
        <v>1</v>
      </c>
      <c r="F116" s="151">
        <v>15067.44</v>
      </c>
      <c r="G116" s="141"/>
      <c r="H116" s="151">
        <f>Source!AC43</f>
        <v>15067.44</v>
      </c>
      <c r="I116" s="151">
        <f>T116</f>
        <v>15067.44</v>
      </c>
      <c r="J116" s="153">
        <v>12.5</v>
      </c>
      <c r="K116" s="152">
        <f>U116</f>
        <v>188343</v>
      </c>
      <c r="O116" s="26"/>
      <c r="P116" s="26"/>
      <c r="Q116" s="26"/>
      <c r="R116" s="26"/>
      <c r="S116" s="26"/>
      <c r="T116" s="26">
        <f>ROUND(Source!AC43*Source!AW43*Source!I43,2)</f>
        <v>15067.44</v>
      </c>
      <c r="U116" s="26">
        <f>Source!P43</f>
        <v>188343</v>
      </c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>
        <f>T116</f>
        <v>15067.44</v>
      </c>
      <c r="GK116" s="26"/>
      <c r="GL116" s="26"/>
      <c r="GM116" s="26"/>
      <c r="GN116" s="26">
        <f>T116</f>
        <v>15067.44</v>
      </c>
      <c r="GO116" s="26"/>
      <c r="GP116" s="26">
        <f>T116</f>
        <v>15067.44</v>
      </c>
      <c r="GQ116" s="26">
        <f>T116</f>
        <v>15067.44</v>
      </c>
      <c r="GR116" s="26"/>
      <c r="GS116" s="26">
        <f>T116</f>
        <v>15067.44</v>
      </c>
      <c r="GT116" s="26"/>
      <c r="GU116" s="26"/>
      <c r="GV116" s="26"/>
      <c r="GW116" s="26">
        <f>ROUND(Source!AG43*Source!I43,2)</f>
        <v>0</v>
      </c>
      <c r="GX116" s="26">
        <f>ROUND(Source!AJ43*Source!I43,2)</f>
        <v>0</v>
      </c>
      <c r="GY116" s="26"/>
      <c r="GZ116" s="26"/>
      <c r="HA116" s="26"/>
      <c r="HB116" s="26">
        <f>T116</f>
        <v>15067.44</v>
      </c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</row>
    <row r="117" spans="1:255" ht="13.5" thickBot="1" x14ac:dyDescent="0.25">
      <c r="A117" s="155"/>
      <c r="B117" s="156" t="s">
        <v>432</v>
      </c>
      <c r="C117" s="156" t="s">
        <v>433</v>
      </c>
      <c r="D117" s="157"/>
      <c r="E117" s="157"/>
      <c r="F117" s="157"/>
      <c r="G117" s="157"/>
      <c r="H117" s="157"/>
      <c r="I117" s="157"/>
      <c r="J117" s="157"/>
      <c r="K117" s="158"/>
    </row>
    <row r="118" spans="1:255" x14ac:dyDescent="0.2">
      <c r="A118" s="123"/>
      <c r="B118" s="122"/>
      <c r="C118" s="122"/>
      <c r="D118" s="122"/>
      <c r="E118" s="122"/>
      <c r="F118" s="122"/>
      <c r="G118" s="122"/>
      <c r="H118" s="132">
        <f>R118</f>
        <v>15067.44</v>
      </c>
      <c r="I118" s="133"/>
      <c r="J118" s="132">
        <f>S118</f>
        <v>188343</v>
      </c>
      <c r="K118" s="134"/>
      <c r="O118" s="26"/>
      <c r="P118" s="26"/>
      <c r="Q118" s="26"/>
      <c r="R118" s="26">
        <f>SUM(T116:T117)</f>
        <v>15067.44</v>
      </c>
      <c r="S118" s="26">
        <f>SUM(U116:U117)</f>
        <v>188343</v>
      </c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>
        <f>R118</f>
        <v>15067.44</v>
      </c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</row>
    <row r="119" spans="1:255" x14ac:dyDescent="0.2">
      <c r="A119" s="147">
        <v>11</v>
      </c>
      <c r="B119" s="154" t="s">
        <v>72</v>
      </c>
      <c r="C119" s="148" t="s">
        <v>79</v>
      </c>
      <c r="D119" s="149" t="s">
        <v>32</v>
      </c>
      <c r="E119" s="150">
        <v>1</v>
      </c>
      <c r="F119" s="151">
        <v>8686.32</v>
      </c>
      <c r="G119" s="141"/>
      <c r="H119" s="151">
        <f>Source!AC45</f>
        <v>8686.32</v>
      </c>
      <c r="I119" s="151">
        <f>T119</f>
        <v>8686.32</v>
      </c>
      <c r="J119" s="153">
        <v>12.5</v>
      </c>
      <c r="K119" s="152">
        <f>U119</f>
        <v>108579</v>
      </c>
      <c r="O119" s="26"/>
      <c r="P119" s="26"/>
      <c r="Q119" s="26"/>
      <c r="R119" s="26"/>
      <c r="S119" s="26"/>
      <c r="T119" s="26">
        <f>ROUND(Source!AC45*Source!AW45*Source!I45,2)</f>
        <v>8686.32</v>
      </c>
      <c r="U119" s="26">
        <f>Source!P45</f>
        <v>108579</v>
      </c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>
        <f>T119</f>
        <v>8686.32</v>
      </c>
      <c r="GK119" s="26"/>
      <c r="GL119" s="26"/>
      <c r="GM119" s="26"/>
      <c r="GN119" s="26">
        <f>T119</f>
        <v>8686.32</v>
      </c>
      <c r="GO119" s="26"/>
      <c r="GP119" s="26">
        <f>T119</f>
        <v>8686.32</v>
      </c>
      <c r="GQ119" s="26">
        <f>T119</f>
        <v>8686.32</v>
      </c>
      <c r="GR119" s="26"/>
      <c r="GS119" s="26">
        <f>T119</f>
        <v>8686.32</v>
      </c>
      <c r="GT119" s="26"/>
      <c r="GU119" s="26"/>
      <c r="GV119" s="26"/>
      <c r="GW119" s="26">
        <f>ROUND(Source!AG45*Source!I45,2)</f>
        <v>0</v>
      </c>
      <c r="GX119" s="26">
        <f>ROUND(Source!AJ45*Source!I45,2)</f>
        <v>0</v>
      </c>
      <c r="GY119" s="26"/>
      <c r="GZ119" s="26"/>
      <c r="HA119" s="26"/>
      <c r="HB119" s="26">
        <f>T119</f>
        <v>8686.32</v>
      </c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</row>
    <row r="120" spans="1:255" ht="13.5" thickBot="1" x14ac:dyDescent="0.25">
      <c r="A120" s="155"/>
      <c r="B120" s="156" t="s">
        <v>432</v>
      </c>
      <c r="C120" s="156" t="s">
        <v>434</v>
      </c>
      <c r="D120" s="157"/>
      <c r="E120" s="157"/>
      <c r="F120" s="157"/>
      <c r="G120" s="157"/>
      <c r="H120" s="157"/>
      <c r="I120" s="157"/>
      <c r="J120" s="157"/>
      <c r="K120" s="158"/>
    </row>
    <row r="121" spans="1:255" x14ac:dyDescent="0.2">
      <c r="A121" s="123"/>
      <c r="B121" s="122"/>
      <c r="C121" s="122"/>
      <c r="D121" s="122"/>
      <c r="E121" s="122"/>
      <c r="F121" s="122"/>
      <c r="G121" s="122"/>
      <c r="H121" s="132">
        <f>R121</f>
        <v>8686.32</v>
      </c>
      <c r="I121" s="133"/>
      <c r="J121" s="132">
        <f>S121</f>
        <v>108579</v>
      </c>
      <c r="K121" s="134"/>
      <c r="O121" s="26"/>
      <c r="P121" s="26"/>
      <c r="Q121" s="26"/>
      <c r="R121" s="26">
        <f>SUM(T119:T120)</f>
        <v>8686.32</v>
      </c>
      <c r="S121" s="26">
        <f>SUM(U119:U120)</f>
        <v>108579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>
        <f>R121</f>
        <v>8686.32</v>
      </c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</row>
    <row r="122" spans="1:255" x14ac:dyDescent="0.2">
      <c r="A122" s="147">
        <v>12</v>
      </c>
      <c r="B122" s="154" t="s">
        <v>72</v>
      </c>
      <c r="C122" s="148" t="s">
        <v>82</v>
      </c>
      <c r="D122" s="149" t="s">
        <v>32</v>
      </c>
      <c r="E122" s="150">
        <v>2</v>
      </c>
      <c r="F122" s="151">
        <v>27.25</v>
      </c>
      <c r="G122" s="141"/>
      <c r="H122" s="151">
        <f>Source!AC47</f>
        <v>27.25</v>
      </c>
      <c r="I122" s="151">
        <f>T122</f>
        <v>54.5</v>
      </c>
      <c r="J122" s="153">
        <v>12.5</v>
      </c>
      <c r="K122" s="152">
        <f>U122</f>
        <v>681.25</v>
      </c>
      <c r="O122" s="26"/>
      <c r="P122" s="26"/>
      <c r="Q122" s="26"/>
      <c r="R122" s="26"/>
      <c r="S122" s="26"/>
      <c r="T122" s="26">
        <f>ROUND(Source!AC47*Source!AW47*Source!I47,2)</f>
        <v>54.5</v>
      </c>
      <c r="U122" s="26">
        <f>Source!P47</f>
        <v>681.25</v>
      </c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>
        <f>T122</f>
        <v>54.5</v>
      </c>
      <c r="GK122" s="26"/>
      <c r="GL122" s="26"/>
      <c r="GM122" s="26"/>
      <c r="GN122" s="26">
        <f>T122</f>
        <v>54.5</v>
      </c>
      <c r="GO122" s="26"/>
      <c r="GP122" s="26">
        <f>T122</f>
        <v>54.5</v>
      </c>
      <c r="GQ122" s="26">
        <f>T122</f>
        <v>54.5</v>
      </c>
      <c r="GR122" s="26"/>
      <c r="GS122" s="26">
        <f>T122</f>
        <v>54.5</v>
      </c>
      <c r="GT122" s="26"/>
      <c r="GU122" s="26"/>
      <c r="GV122" s="26"/>
      <c r="GW122" s="26">
        <f>ROUND(Source!AG47*Source!I47,2)</f>
        <v>0</v>
      </c>
      <c r="GX122" s="26">
        <f>ROUND(Source!AJ47*Source!I47,2)</f>
        <v>0</v>
      </c>
      <c r="GY122" s="26"/>
      <c r="GZ122" s="26"/>
      <c r="HA122" s="26"/>
      <c r="HB122" s="26">
        <f>T122</f>
        <v>54.5</v>
      </c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</row>
    <row r="123" spans="1:255" ht="13.5" thickBot="1" x14ac:dyDescent="0.25">
      <c r="A123" s="155"/>
      <c r="B123" s="156" t="s">
        <v>432</v>
      </c>
      <c r="C123" s="156" t="s">
        <v>435</v>
      </c>
      <c r="D123" s="157"/>
      <c r="E123" s="157"/>
      <c r="F123" s="157"/>
      <c r="G123" s="157"/>
      <c r="H123" s="157"/>
      <c r="I123" s="157"/>
      <c r="J123" s="157"/>
      <c r="K123" s="158"/>
    </row>
    <row r="124" spans="1:255" x14ac:dyDescent="0.2">
      <c r="A124" s="123"/>
      <c r="B124" s="122"/>
      <c r="C124" s="122"/>
      <c r="D124" s="122"/>
      <c r="E124" s="122"/>
      <c r="F124" s="122"/>
      <c r="G124" s="122"/>
      <c r="H124" s="132">
        <f>R124</f>
        <v>54.5</v>
      </c>
      <c r="I124" s="133"/>
      <c r="J124" s="132">
        <f>S124</f>
        <v>681.25</v>
      </c>
      <c r="K124" s="134"/>
      <c r="O124" s="26"/>
      <c r="P124" s="26"/>
      <c r="Q124" s="26"/>
      <c r="R124" s="26">
        <f>SUM(T122:T123)</f>
        <v>54.5</v>
      </c>
      <c r="S124" s="26">
        <f>SUM(U122:U123)</f>
        <v>681.25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>
        <f>R124</f>
        <v>54.5</v>
      </c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</row>
    <row r="125" spans="1:255" x14ac:dyDescent="0.2">
      <c r="A125" s="147">
        <v>13</v>
      </c>
      <c r="B125" s="154" t="s">
        <v>72</v>
      </c>
      <c r="C125" s="148" t="s">
        <v>85</v>
      </c>
      <c r="D125" s="149" t="s">
        <v>32</v>
      </c>
      <c r="E125" s="150">
        <v>2</v>
      </c>
      <c r="F125" s="151">
        <v>0.35000000000000003</v>
      </c>
      <c r="G125" s="141"/>
      <c r="H125" s="151">
        <f>Source!AC49</f>
        <v>0.35</v>
      </c>
      <c r="I125" s="151">
        <f>T125</f>
        <v>0.7</v>
      </c>
      <c r="J125" s="153">
        <v>12.5</v>
      </c>
      <c r="K125" s="152">
        <f>U125</f>
        <v>8.75</v>
      </c>
      <c r="O125" s="26"/>
      <c r="P125" s="26"/>
      <c r="Q125" s="26"/>
      <c r="R125" s="26"/>
      <c r="S125" s="26"/>
      <c r="T125" s="26">
        <f>ROUND(Source!AC49*Source!AW49*Source!I49,2)</f>
        <v>0.7</v>
      </c>
      <c r="U125" s="26">
        <f>Source!P49</f>
        <v>8.75</v>
      </c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>
        <f>T125</f>
        <v>0.7</v>
      </c>
      <c r="GK125" s="26"/>
      <c r="GL125" s="26"/>
      <c r="GM125" s="26"/>
      <c r="GN125" s="26">
        <f>T125</f>
        <v>0.7</v>
      </c>
      <c r="GO125" s="26"/>
      <c r="GP125" s="26">
        <f>T125</f>
        <v>0.7</v>
      </c>
      <c r="GQ125" s="26">
        <f>T125</f>
        <v>0.7</v>
      </c>
      <c r="GR125" s="26"/>
      <c r="GS125" s="26">
        <f>T125</f>
        <v>0.7</v>
      </c>
      <c r="GT125" s="26"/>
      <c r="GU125" s="26"/>
      <c r="GV125" s="26"/>
      <c r="GW125" s="26">
        <f>ROUND(Source!AG49*Source!I49,2)</f>
        <v>0</v>
      </c>
      <c r="GX125" s="26">
        <f>ROUND(Source!AJ49*Source!I49,2)</f>
        <v>0</v>
      </c>
      <c r="GY125" s="26"/>
      <c r="GZ125" s="26"/>
      <c r="HA125" s="26"/>
      <c r="HB125" s="26">
        <f>T125</f>
        <v>0.7</v>
      </c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</row>
    <row r="126" spans="1:255" ht="13.5" thickBot="1" x14ac:dyDescent="0.25">
      <c r="A126" s="155"/>
      <c r="B126" s="156" t="s">
        <v>432</v>
      </c>
      <c r="C126" s="156" t="s">
        <v>436</v>
      </c>
      <c r="D126" s="157"/>
      <c r="E126" s="157"/>
      <c r="F126" s="157"/>
      <c r="G126" s="157"/>
      <c r="H126" s="157"/>
      <c r="I126" s="157"/>
      <c r="J126" s="157"/>
      <c r="K126" s="158"/>
    </row>
    <row r="127" spans="1:255" x14ac:dyDescent="0.2">
      <c r="A127" s="123"/>
      <c r="B127" s="122"/>
      <c r="C127" s="122"/>
      <c r="D127" s="122"/>
      <c r="E127" s="122"/>
      <c r="F127" s="122"/>
      <c r="G127" s="122"/>
      <c r="H127" s="132">
        <f>R127</f>
        <v>0.7</v>
      </c>
      <c r="I127" s="133"/>
      <c r="J127" s="132">
        <f>S127</f>
        <v>8.75</v>
      </c>
      <c r="K127" s="134"/>
      <c r="O127" s="26"/>
      <c r="P127" s="26"/>
      <c r="Q127" s="26"/>
      <c r="R127" s="26">
        <f>SUM(T125:T126)</f>
        <v>0.7</v>
      </c>
      <c r="S127" s="26">
        <f>SUM(U125:U126)</f>
        <v>8.75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>
        <f>R127</f>
        <v>0.7</v>
      </c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</row>
    <row r="128" spans="1:255" x14ac:dyDescent="0.2">
      <c r="A128" s="147">
        <v>14</v>
      </c>
      <c r="B128" s="154" t="s">
        <v>72</v>
      </c>
      <c r="C128" s="148" t="s">
        <v>88</v>
      </c>
      <c r="D128" s="149" t="s">
        <v>32</v>
      </c>
      <c r="E128" s="150">
        <v>1</v>
      </c>
      <c r="F128" s="151">
        <v>81.599999999999994</v>
      </c>
      <c r="G128" s="141"/>
      <c r="H128" s="151">
        <f>Source!AC51</f>
        <v>81.599999999999994</v>
      </c>
      <c r="I128" s="151">
        <f>T128</f>
        <v>81.599999999999994</v>
      </c>
      <c r="J128" s="153">
        <v>12.5</v>
      </c>
      <c r="K128" s="152">
        <f>U128</f>
        <v>1020</v>
      </c>
      <c r="O128" s="26"/>
      <c r="P128" s="26"/>
      <c r="Q128" s="26"/>
      <c r="R128" s="26"/>
      <c r="S128" s="26"/>
      <c r="T128" s="26">
        <f>ROUND(Source!AC51*Source!AW51*Source!I51,2)</f>
        <v>81.599999999999994</v>
      </c>
      <c r="U128" s="26">
        <f>Source!P51</f>
        <v>1020</v>
      </c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>
        <f>T128</f>
        <v>81.599999999999994</v>
      </c>
      <c r="GK128" s="26"/>
      <c r="GL128" s="26"/>
      <c r="GM128" s="26"/>
      <c r="GN128" s="26">
        <f>T128</f>
        <v>81.599999999999994</v>
      </c>
      <c r="GO128" s="26"/>
      <c r="GP128" s="26">
        <f>T128</f>
        <v>81.599999999999994</v>
      </c>
      <c r="GQ128" s="26">
        <f>T128</f>
        <v>81.599999999999994</v>
      </c>
      <c r="GR128" s="26"/>
      <c r="GS128" s="26">
        <f>T128</f>
        <v>81.599999999999994</v>
      </c>
      <c r="GT128" s="26"/>
      <c r="GU128" s="26"/>
      <c r="GV128" s="26"/>
      <c r="GW128" s="26">
        <f>ROUND(Source!AG51*Source!I51,2)</f>
        <v>0</v>
      </c>
      <c r="GX128" s="26">
        <f>ROUND(Source!AJ51*Source!I51,2)</f>
        <v>0</v>
      </c>
      <c r="GY128" s="26"/>
      <c r="GZ128" s="26"/>
      <c r="HA128" s="26"/>
      <c r="HB128" s="26">
        <f>T128</f>
        <v>81.599999999999994</v>
      </c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</row>
    <row r="129" spans="1:255" ht="13.5" thickBot="1" x14ac:dyDescent="0.25">
      <c r="A129" s="155"/>
      <c r="B129" s="156" t="s">
        <v>432</v>
      </c>
      <c r="C129" s="156" t="s">
        <v>437</v>
      </c>
      <c r="D129" s="157"/>
      <c r="E129" s="157"/>
      <c r="F129" s="157"/>
      <c r="G129" s="157"/>
      <c r="H129" s="157"/>
      <c r="I129" s="157"/>
      <c r="J129" s="157"/>
      <c r="K129" s="158"/>
    </row>
    <row r="130" spans="1:255" x14ac:dyDescent="0.2">
      <c r="A130" s="123"/>
      <c r="B130" s="122"/>
      <c r="C130" s="122"/>
      <c r="D130" s="122"/>
      <c r="E130" s="122"/>
      <c r="F130" s="122"/>
      <c r="G130" s="122"/>
      <c r="H130" s="132">
        <f>R130</f>
        <v>81.599999999999994</v>
      </c>
      <c r="I130" s="133"/>
      <c r="J130" s="132">
        <f>S130</f>
        <v>1020</v>
      </c>
      <c r="K130" s="134"/>
      <c r="O130" s="26"/>
      <c r="P130" s="26"/>
      <c r="Q130" s="26"/>
      <c r="R130" s="26">
        <f>SUM(T128:T129)</f>
        <v>81.599999999999994</v>
      </c>
      <c r="S130" s="26">
        <f>SUM(U128:U129)</f>
        <v>1020</v>
      </c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>
        <f>R130</f>
        <v>81.599999999999994</v>
      </c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</row>
    <row r="131" spans="1:255" x14ac:dyDescent="0.2">
      <c r="A131" s="147">
        <v>15</v>
      </c>
      <c r="B131" s="154" t="s">
        <v>72</v>
      </c>
      <c r="C131" s="148" t="s">
        <v>91</v>
      </c>
      <c r="D131" s="149" t="s">
        <v>32</v>
      </c>
      <c r="E131" s="150">
        <v>1</v>
      </c>
      <c r="F131" s="151">
        <v>16.32</v>
      </c>
      <c r="G131" s="141"/>
      <c r="H131" s="151">
        <f>Source!AC53</f>
        <v>16.32</v>
      </c>
      <c r="I131" s="151">
        <f>T131</f>
        <v>16.32</v>
      </c>
      <c r="J131" s="153">
        <v>12.5</v>
      </c>
      <c r="K131" s="152">
        <f>U131</f>
        <v>204</v>
      </c>
      <c r="O131" s="26"/>
      <c r="P131" s="26"/>
      <c r="Q131" s="26"/>
      <c r="R131" s="26"/>
      <c r="S131" s="26"/>
      <c r="T131" s="26">
        <f>ROUND(Source!AC53*Source!AW53*Source!I53,2)</f>
        <v>16.32</v>
      </c>
      <c r="U131" s="26">
        <f>Source!P53</f>
        <v>204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>
        <f>T131</f>
        <v>16.32</v>
      </c>
      <c r="GK131" s="26"/>
      <c r="GL131" s="26"/>
      <c r="GM131" s="26"/>
      <c r="GN131" s="26">
        <f>T131</f>
        <v>16.32</v>
      </c>
      <c r="GO131" s="26"/>
      <c r="GP131" s="26">
        <f>T131</f>
        <v>16.32</v>
      </c>
      <c r="GQ131" s="26">
        <f>T131</f>
        <v>16.32</v>
      </c>
      <c r="GR131" s="26"/>
      <c r="GS131" s="26">
        <f>T131</f>
        <v>16.32</v>
      </c>
      <c r="GT131" s="26"/>
      <c r="GU131" s="26"/>
      <c r="GV131" s="26"/>
      <c r="GW131" s="26">
        <f>ROUND(Source!AG53*Source!I53,2)</f>
        <v>0</v>
      </c>
      <c r="GX131" s="26">
        <f>ROUND(Source!AJ53*Source!I53,2)</f>
        <v>0</v>
      </c>
      <c r="GY131" s="26"/>
      <c r="GZ131" s="26"/>
      <c r="HA131" s="26"/>
      <c r="HB131" s="26">
        <f>T131</f>
        <v>16.32</v>
      </c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</row>
    <row r="132" spans="1:255" ht="13.5" thickBot="1" x14ac:dyDescent="0.25">
      <c r="A132" s="155"/>
      <c r="B132" s="156" t="s">
        <v>432</v>
      </c>
      <c r="C132" s="156" t="s">
        <v>438</v>
      </c>
      <c r="D132" s="157"/>
      <c r="E132" s="157"/>
      <c r="F132" s="157"/>
      <c r="G132" s="157"/>
      <c r="H132" s="157"/>
      <c r="I132" s="157"/>
      <c r="J132" s="157"/>
      <c r="K132" s="158"/>
    </row>
    <row r="133" spans="1:255" x14ac:dyDescent="0.2">
      <c r="A133" s="123"/>
      <c r="B133" s="122"/>
      <c r="C133" s="122"/>
      <c r="D133" s="122"/>
      <c r="E133" s="122"/>
      <c r="F133" s="122"/>
      <c r="G133" s="122"/>
      <c r="H133" s="132">
        <f>R133</f>
        <v>16.32</v>
      </c>
      <c r="I133" s="133"/>
      <c r="J133" s="132">
        <f>S133</f>
        <v>204</v>
      </c>
      <c r="K133" s="134"/>
      <c r="O133" s="26"/>
      <c r="P133" s="26"/>
      <c r="Q133" s="26"/>
      <c r="R133" s="26">
        <f>SUM(T131:T132)</f>
        <v>16.32</v>
      </c>
      <c r="S133" s="26">
        <f>SUM(U131:U132)</f>
        <v>204</v>
      </c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>
        <f>R133</f>
        <v>16.32</v>
      </c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</row>
    <row r="134" spans="1:255" ht="13.5" thickBot="1" x14ac:dyDescent="0.25">
      <c r="A134" s="159">
        <v>16</v>
      </c>
      <c r="B134" s="160" t="s">
        <v>72</v>
      </c>
      <c r="C134" s="161" t="s">
        <v>94</v>
      </c>
      <c r="D134" s="162" t="s">
        <v>32</v>
      </c>
      <c r="E134" s="163">
        <v>1</v>
      </c>
      <c r="F134" s="164">
        <v>0</v>
      </c>
      <c r="G134" s="165"/>
      <c r="H134" s="164">
        <f>Source!AC55</f>
        <v>0</v>
      </c>
      <c r="I134" s="164">
        <f>T134</f>
        <v>0</v>
      </c>
      <c r="J134" s="166">
        <v>12.5</v>
      </c>
      <c r="K134" s="167">
        <f>U134</f>
        <v>0</v>
      </c>
      <c r="O134" s="26"/>
      <c r="P134" s="26"/>
      <c r="Q134" s="26"/>
      <c r="R134" s="26"/>
      <c r="S134" s="26"/>
      <c r="T134" s="26">
        <f>ROUND(Source!AC55*Source!AW55*Source!I55,2)</f>
        <v>0</v>
      </c>
      <c r="U134" s="26">
        <f>Source!P55</f>
        <v>0</v>
      </c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>
        <f>T134</f>
        <v>0</v>
      </c>
      <c r="GK134" s="26"/>
      <c r="GL134" s="26"/>
      <c r="GM134" s="26"/>
      <c r="GN134" s="26">
        <f>T134</f>
        <v>0</v>
      </c>
      <c r="GO134" s="26"/>
      <c r="GP134" s="26">
        <f>T134</f>
        <v>0</v>
      </c>
      <c r="GQ134" s="26">
        <f>T134</f>
        <v>0</v>
      </c>
      <c r="GR134" s="26"/>
      <c r="GS134" s="26">
        <f>T134</f>
        <v>0</v>
      </c>
      <c r="GT134" s="26"/>
      <c r="GU134" s="26"/>
      <c r="GV134" s="26"/>
      <c r="GW134" s="26">
        <f>ROUND(Source!AG55*Source!I55,2)</f>
        <v>0</v>
      </c>
      <c r="GX134" s="26">
        <f>ROUND(Source!AJ55*Source!I55,2)</f>
        <v>0</v>
      </c>
      <c r="GY134" s="26"/>
      <c r="GZ134" s="26"/>
      <c r="HA134" s="26"/>
      <c r="HB134" s="26">
        <f>T134</f>
        <v>0</v>
      </c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</row>
    <row r="135" spans="1:255" x14ac:dyDescent="0.2">
      <c r="A135" s="123"/>
      <c r="B135" s="122"/>
      <c r="C135" s="122"/>
      <c r="D135" s="122"/>
      <c r="E135" s="122"/>
      <c r="F135" s="122"/>
      <c r="G135" s="122"/>
      <c r="H135" s="132">
        <f>R135</f>
        <v>0</v>
      </c>
      <c r="I135" s="133"/>
      <c r="J135" s="132">
        <f>S135</f>
        <v>0</v>
      </c>
      <c r="K135" s="134"/>
      <c r="O135" s="26"/>
      <c r="P135" s="26"/>
      <c r="Q135" s="26"/>
      <c r="R135" s="26">
        <f>SUM(T134:T134)</f>
        <v>0</v>
      </c>
      <c r="S135" s="26">
        <f>SUM(U134:U134)</f>
        <v>0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>
        <f>R135</f>
        <v>0</v>
      </c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</row>
    <row r="136" spans="1:255" x14ac:dyDescent="0.2">
      <c r="A136" s="147">
        <v>17</v>
      </c>
      <c r="B136" s="154" t="s">
        <v>72</v>
      </c>
      <c r="C136" s="148" t="s">
        <v>96</v>
      </c>
      <c r="D136" s="149" t="s">
        <v>32</v>
      </c>
      <c r="E136" s="150">
        <v>1</v>
      </c>
      <c r="F136" s="151">
        <v>33.059999999999995</v>
      </c>
      <c r="G136" s="141"/>
      <c r="H136" s="151">
        <f>Source!AC57</f>
        <v>33.06</v>
      </c>
      <c r="I136" s="151">
        <f>T136</f>
        <v>33.06</v>
      </c>
      <c r="J136" s="153">
        <v>12.5</v>
      </c>
      <c r="K136" s="152">
        <f>U136</f>
        <v>413.25</v>
      </c>
      <c r="O136" s="26"/>
      <c r="P136" s="26"/>
      <c r="Q136" s="26"/>
      <c r="R136" s="26"/>
      <c r="S136" s="26"/>
      <c r="T136" s="26">
        <f>ROUND(Source!AC57*Source!AW57*Source!I57,2)</f>
        <v>33.06</v>
      </c>
      <c r="U136" s="26">
        <f>Source!P57</f>
        <v>413.25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>
        <f>T136</f>
        <v>33.06</v>
      </c>
      <c r="GK136" s="26"/>
      <c r="GL136" s="26"/>
      <c r="GM136" s="26"/>
      <c r="GN136" s="26">
        <f>T136</f>
        <v>33.06</v>
      </c>
      <c r="GO136" s="26"/>
      <c r="GP136" s="26">
        <f>T136</f>
        <v>33.06</v>
      </c>
      <c r="GQ136" s="26">
        <f>T136</f>
        <v>33.06</v>
      </c>
      <c r="GR136" s="26"/>
      <c r="GS136" s="26">
        <f>T136</f>
        <v>33.06</v>
      </c>
      <c r="GT136" s="26"/>
      <c r="GU136" s="26"/>
      <c r="GV136" s="26"/>
      <c r="GW136" s="26">
        <f>ROUND(Source!AG57*Source!I57,2)</f>
        <v>0</v>
      </c>
      <c r="GX136" s="26">
        <f>ROUND(Source!AJ57*Source!I57,2)</f>
        <v>0</v>
      </c>
      <c r="GY136" s="26"/>
      <c r="GZ136" s="26"/>
      <c r="HA136" s="26"/>
      <c r="HB136" s="26">
        <f>T136</f>
        <v>33.06</v>
      </c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</row>
    <row r="137" spans="1:255" ht="13.5" thickBot="1" x14ac:dyDescent="0.25">
      <c r="A137" s="155"/>
      <c r="B137" s="156" t="s">
        <v>432</v>
      </c>
      <c r="C137" s="156" t="s">
        <v>439</v>
      </c>
      <c r="D137" s="157"/>
      <c r="E137" s="157"/>
      <c r="F137" s="157"/>
      <c r="G137" s="157"/>
      <c r="H137" s="157"/>
      <c r="I137" s="157"/>
      <c r="J137" s="157"/>
      <c r="K137" s="158"/>
    </row>
    <row r="138" spans="1:255" x14ac:dyDescent="0.2">
      <c r="A138" s="123"/>
      <c r="B138" s="122"/>
      <c r="C138" s="122"/>
      <c r="D138" s="122"/>
      <c r="E138" s="122"/>
      <c r="F138" s="122"/>
      <c r="G138" s="122"/>
      <c r="H138" s="132">
        <f>R138</f>
        <v>33.06</v>
      </c>
      <c r="I138" s="133"/>
      <c r="J138" s="132">
        <f>S138</f>
        <v>413.25</v>
      </c>
      <c r="K138" s="134"/>
      <c r="O138" s="26"/>
      <c r="P138" s="26"/>
      <c r="Q138" s="26"/>
      <c r="R138" s="26">
        <f>SUM(T136:T137)</f>
        <v>33.06</v>
      </c>
      <c r="S138" s="26">
        <f>SUM(U136:U137)</f>
        <v>413.25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>
        <f>R138</f>
        <v>33.06</v>
      </c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</row>
    <row r="139" spans="1:255" x14ac:dyDescent="0.2">
      <c r="A139" s="147">
        <v>18</v>
      </c>
      <c r="B139" s="154" t="s">
        <v>72</v>
      </c>
      <c r="C139" s="148" t="s">
        <v>99</v>
      </c>
      <c r="D139" s="149" t="s">
        <v>32</v>
      </c>
      <c r="E139" s="150">
        <v>1</v>
      </c>
      <c r="F139" s="151">
        <v>10.83</v>
      </c>
      <c r="G139" s="141"/>
      <c r="H139" s="151">
        <f>Source!AC59</f>
        <v>10.83</v>
      </c>
      <c r="I139" s="151">
        <f>T139</f>
        <v>10.83</v>
      </c>
      <c r="J139" s="153">
        <v>12.5</v>
      </c>
      <c r="K139" s="152">
        <f>U139</f>
        <v>135.38</v>
      </c>
      <c r="O139" s="26"/>
      <c r="P139" s="26"/>
      <c r="Q139" s="26"/>
      <c r="R139" s="26"/>
      <c r="S139" s="26"/>
      <c r="T139" s="26">
        <f>ROUND(Source!AC59*Source!AW59*Source!I59,2)</f>
        <v>10.83</v>
      </c>
      <c r="U139" s="26">
        <f>Source!P59</f>
        <v>135.38</v>
      </c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>
        <f>T139</f>
        <v>10.83</v>
      </c>
      <c r="GK139" s="26"/>
      <c r="GL139" s="26"/>
      <c r="GM139" s="26"/>
      <c r="GN139" s="26">
        <f>T139</f>
        <v>10.83</v>
      </c>
      <c r="GO139" s="26"/>
      <c r="GP139" s="26">
        <f>T139</f>
        <v>10.83</v>
      </c>
      <c r="GQ139" s="26">
        <f>T139</f>
        <v>10.83</v>
      </c>
      <c r="GR139" s="26"/>
      <c r="GS139" s="26">
        <f>T139</f>
        <v>10.83</v>
      </c>
      <c r="GT139" s="26"/>
      <c r="GU139" s="26"/>
      <c r="GV139" s="26"/>
      <c r="GW139" s="26">
        <f>ROUND(Source!AG59*Source!I59,2)</f>
        <v>0</v>
      </c>
      <c r="GX139" s="26">
        <f>ROUND(Source!AJ59*Source!I59,2)</f>
        <v>0</v>
      </c>
      <c r="GY139" s="26"/>
      <c r="GZ139" s="26"/>
      <c r="HA139" s="26"/>
      <c r="HB139" s="26">
        <f>T139</f>
        <v>10.83</v>
      </c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</row>
    <row r="140" spans="1:255" ht="13.5" thickBot="1" x14ac:dyDescent="0.25">
      <c r="A140" s="155"/>
      <c r="B140" s="156" t="s">
        <v>432</v>
      </c>
      <c r="C140" s="156" t="s">
        <v>440</v>
      </c>
      <c r="D140" s="157"/>
      <c r="E140" s="157"/>
      <c r="F140" s="157"/>
      <c r="G140" s="157"/>
      <c r="H140" s="157"/>
      <c r="I140" s="157"/>
      <c r="J140" s="157"/>
      <c r="K140" s="158"/>
    </row>
    <row r="141" spans="1:255" x14ac:dyDescent="0.2">
      <c r="A141" s="123"/>
      <c r="B141" s="122"/>
      <c r="C141" s="122"/>
      <c r="D141" s="122"/>
      <c r="E141" s="122"/>
      <c r="F141" s="122"/>
      <c r="G141" s="122"/>
      <c r="H141" s="132">
        <f>R141</f>
        <v>10.83</v>
      </c>
      <c r="I141" s="133"/>
      <c r="J141" s="132">
        <f>S141</f>
        <v>135.38</v>
      </c>
      <c r="K141" s="134"/>
      <c r="O141" s="26"/>
      <c r="P141" s="26"/>
      <c r="Q141" s="26"/>
      <c r="R141" s="26">
        <f>SUM(T139:T140)</f>
        <v>10.83</v>
      </c>
      <c r="S141" s="26">
        <f>SUM(U139:U140)</f>
        <v>135.38</v>
      </c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>
        <f>R141</f>
        <v>10.83</v>
      </c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</row>
    <row r="142" spans="1:255" x14ac:dyDescent="0.2">
      <c r="A142" s="147">
        <v>19</v>
      </c>
      <c r="B142" s="154" t="s">
        <v>72</v>
      </c>
      <c r="C142" s="148" t="s">
        <v>102</v>
      </c>
      <c r="D142" s="149" t="s">
        <v>32</v>
      </c>
      <c r="E142" s="150">
        <v>1</v>
      </c>
      <c r="F142" s="151">
        <v>27.87</v>
      </c>
      <c r="G142" s="141"/>
      <c r="H142" s="151">
        <f>Source!AC61</f>
        <v>27.87</v>
      </c>
      <c r="I142" s="151">
        <f>T142</f>
        <v>27.87</v>
      </c>
      <c r="J142" s="153">
        <v>12.5</v>
      </c>
      <c r="K142" s="152">
        <f>U142</f>
        <v>348.38</v>
      </c>
      <c r="O142" s="26"/>
      <c r="P142" s="26"/>
      <c r="Q142" s="26"/>
      <c r="R142" s="26"/>
      <c r="S142" s="26"/>
      <c r="T142" s="26">
        <f>ROUND(Source!AC61*Source!AW61*Source!I61,2)</f>
        <v>27.87</v>
      </c>
      <c r="U142" s="26">
        <f>Source!P61</f>
        <v>348.38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>
        <f>T142</f>
        <v>27.87</v>
      </c>
      <c r="GK142" s="26"/>
      <c r="GL142" s="26"/>
      <c r="GM142" s="26"/>
      <c r="GN142" s="26">
        <f>T142</f>
        <v>27.87</v>
      </c>
      <c r="GO142" s="26"/>
      <c r="GP142" s="26">
        <f>T142</f>
        <v>27.87</v>
      </c>
      <c r="GQ142" s="26">
        <f>T142</f>
        <v>27.87</v>
      </c>
      <c r="GR142" s="26"/>
      <c r="GS142" s="26">
        <f>T142</f>
        <v>27.87</v>
      </c>
      <c r="GT142" s="26"/>
      <c r="GU142" s="26"/>
      <c r="GV142" s="26"/>
      <c r="GW142" s="26">
        <f>ROUND(Source!AG61*Source!I61,2)</f>
        <v>0</v>
      </c>
      <c r="GX142" s="26">
        <f>ROUND(Source!AJ61*Source!I61,2)</f>
        <v>0</v>
      </c>
      <c r="GY142" s="26"/>
      <c r="GZ142" s="26"/>
      <c r="HA142" s="26"/>
      <c r="HB142" s="26">
        <f>T142</f>
        <v>27.87</v>
      </c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</row>
    <row r="143" spans="1:255" ht="13.5" thickBot="1" x14ac:dyDescent="0.25">
      <c r="A143" s="155"/>
      <c r="B143" s="156" t="s">
        <v>432</v>
      </c>
      <c r="C143" s="156" t="s">
        <v>441</v>
      </c>
      <c r="D143" s="157"/>
      <c r="E143" s="157"/>
      <c r="F143" s="157"/>
      <c r="G143" s="157"/>
      <c r="H143" s="157"/>
      <c r="I143" s="157"/>
      <c r="J143" s="157"/>
      <c r="K143" s="158"/>
    </row>
    <row r="144" spans="1:255" x14ac:dyDescent="0.2">
      <c r="A144" s="123"/>
      <c r="B144" s="122"/>
      <c r="C144" s="122"/>
      <c r="D144" s="122"/>
      <c r="E144" s="122"/>
      <c r="F144" s="122"/>
      <c r="G144" s="122"/>
      <c r="H144" s="132">
        <f>R144</f>
        <v>27.87</v>
      </c>
      <c r="I144" s="133"/>
      <c r="J144" s="132">
        <f>S144</f>
        <v>348.38</v>
      </c>
      <c r="K144" s="134"/>
      <c r="O144" s="26"/>
      <c r="P144" s="26"/>
      <c r="Q144" s="26"/>
      <c r="R144" s="26">
        <f>SUM(T142:T143)</f>
        <v>27.87</v>
      </c>
      <c r="S144" s="26">
        <f>SUM(U142:U143)</f>
        <v>348.38</v>
      </c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>
        <f>R144</f>
        <v>27.87</v>
      </c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</row>
    <row r="145" spans="1:255" x14ac:dyDescent="0.2">
      <c r="A145" s="147">
        <v>20</v>
      </c>
      <c r="B145" s="154" t="s">
        <v>72</v>
      </c>
      <c r="C145" s="148" t="s">
        <v>105</v>
      </c>
      <c r="D145" s="149" t="s">
        <v>32</v>
      </c>
      <c r="E145" s="150">
        <v>1</v>
      </c>
      <c r="F145" s="151">
        <v>3.65</v>
      </c>
      <c r="G145" s="141"/>
      <c r="H145" s="151">
        <f>Source!AC63</f>
        <v>3.65</v>
      </c>
      <c r="I145" s="151">
        <f>T145</f>
        <v>3.65</v>
      </c>
      <c r="J145" s="153">
        <v>12.5</v>
      </c>
      <c r="K145" s="152">
        <f>U145</f>
        <v>45.63</v>
      </c>
      <c r="O145" s="26"/>
      <c r="P145" s="26"/>
      <c r="Q145" s="26"/>
      <c r="R145" s="26"/>
      <c r="S145" s="26"/>
      <c r="T145" s="26">
        <f>ROUND(Source!AC63*Source!AW63*Source!I63,2)</f>
        <v>3.65</v>
      </c>
      <c r="U145" s="26">
        <f>Source!P63</f>
        <v>45.63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>
        <f>T145</f>
        <v>3.65</v>
      </c>
      <c r="GK145" s="26"/>
      <c r="GL145" s="26"/>
      <c r="GM145" s="26"/>
      <c r="GN145" s="26">
        <f>T145</f>
        <v>3.65</v>
      </c>
      <c r="GO145" s="26"/>
      <c r="GP145" s="26">
        <f>T145</f>
        <v>3.65</v>
      </c>
      <c r="GQ145" s="26">
        <f>T145</f>
        <v>3.65</v>
      </c>
      <c r="GR145" s="26"/>
      <c r="GS145" s="26">
        <f>T145</f>
        <v>3.65</v>
      </c>
      <c r="GT145" s="26"/>
      <c r="GU145" s="26"/>
      <c r="GV145" s="26"/>
      <c r="GW145" s="26">
        <f>ROUND(Source!AG63*Source!I63,2)</f>
        <v>0</v>
      </c>
      <c r="GX145" s="26">
        <f>ROUND(Source!AJ63*Source!I63,2)</f>
        <v>0</v>
      </c>
      <c r="GY145" s="26"/>
      <c r="GZ145" s="26"/>
      <c r="HA145" s="26"/>
      <c r="HB145" s="26">
        <f>T145</f>
        <v>3.65</v>
      </c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</row>
    <row r="146" spans="1:255" ht="13.5" thickBot="1" x14ac:dyDescent="0.25">
      <c r="A146" s="155"/>
      <c r="B146" s="156" t="s">
        <v>432</v>
      </c>
      <c r="C146" s="156" t="s">
        <v>442</v>
      </c>
      <c r="D146" s="157"/>
      <c r="E146" s="157"/>
      <c r="F146" s="157"/>
      <c r="G146" s="157"/>
      <c r="H146" s="157"/>
      <c r="I146" s="157"/>
      <c r="J146" s="157"/>
      <c r="K146" s="158"/>
    </row>
    <row r="147" spans="1:255" x14ac:dyDescent="0.2">
      <c r="A147" s="123"/>
      <c r="B147" s="122"/>
      <c r="C147" s="122"/>
      <c r="D147" s="122"/>
      <c r="E147" s="122"/>
      <c r="F147" s="122"/>
      <c r="G147" s="122"/>
      <c r="H147" s="132">
        <f>R147</f>
        <v>3.65</v>
      </c>
      <c r="I147" s="133"/>
      <c r="J147" s="132">
        <f>S147</f>
        <v>45.63</v>
      </c>
      <c r="K147" s="134"/>
      <c r="O147" s="26"/>
      <c r="P147" s="26"/>
      <c r="Q147" s="26"/>
      <c r="R147" s="26">
        <f>SUM(T145:T146)</f>
        <v>3.65</v>
      </c>
      <c r="S147" s="26">
        <f>SUM(U145:U146)</f>
        <v>45.63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>
        <f>R147</f>
        <v>3.65</v>
      </c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</row>
    <row r="148" spans="1:255" x14ac:dyDescent="0.2">
      <c r="A148" s="147">
        <v>21</v>
      </c>
      <c r="B148" s="154" t="s">
        <v>72</v>
      </c>
      <c r="C148" s="148" t="s">
        <v>108</v>
      </c>
      <c r="D148" s="149" t="s">
        <v>32</v>
      </c>
      <c r="E148" s="150">
        <v>1</v>
      </c>
      <c r="F148" s="151">
        <v>5.25</v>
      </c>
      <c r="G148" s="141"/>
      <c r="H148" s="151">
        <f>Source!AC65</f>
        <v>5.25</v>
      </c>
      <c r="I148" s="151">
        <f>T148</f>
        <v>5.25</v>
      </c>
      <c r="J148" s="153">
        <v>12.5</v>
      </c>
      <c r="K148" s="152">
        <f>U148</f>
        <v>65.63</v>
      </c>
      <c r="O148" s="26"/>
      <c r="P148" s="26"/>
      <c r="Q148" s="26"/>
      <c r="R148" s="26"/>
      <c r="S148" s="26"/>
      <c r="T148" s="26">
        <f>ROUND(Source!AC65*Source!AW65*Source!I65,2)</f>
        <v>5.25</v>
      </c>
      <c r="U148" s="26">
        <f>Source!P65</f>
        <v>65.63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>
        <f>T148</f>
        <v>5.25</v>
      </c>
      <c r="GK148" s="26"/>
      <c r="GL148" s="26"/>
      <c r="GM148" s="26"/>
      <c r="GN148" s="26">
        <f>T148</f>
        <v>5.25</v>
      </c>
      <c r="GO148" s="26"/>
      <c r="GP148" s="26">
        <f>T148</f>
        <v>5.25</v>
      </c>
      <c r="GQ148" s="26">
        <f>T148</f>
        <v>5.25</v>
      </c>
      <c r="GR148" s="26"/>
      <c r="GS148" s="26">
        <f>T148</f>
        <v>5.25</v>
      </c>
      <c r="GT148" s="26"/>
      <c r="GU148" s="26"/>
      <c r="GV148" s="26"/>
      <c r="GW148" s="26">
        <f>ROUND(Source!AG65*Source!I65,2)</f>
        <v>0</v>
      </c>
      <c r="GX148" s="26">
        <f>ROUND(Source!AJ65*Source!I65,2)</f>
        <v>0</v>
      </c>
      <c r="GY148" s="26"/>
      <c r="GZ148" s="26"/>
      <c r="HA148" s="26"/>
      <c r="HB148" s="26">
        <f>T148</f>
        <v>5.25</v>
      </c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</row>
    <row r="149" spans="1:255" ht="13.5" thickBot="1" x14ac:dyDescent="0.25">
      <c r="A149" s="155"/>
      <c r="B149" s="156" t="s">
        <v>432</v>
      </c>
      <c r="C149" s="156" t="s">
        <v>443</v>
      </c>
      <c r="D149" s="157"/>
      <c r="E149" s="157"/>
      <c r="F149" s="157"/>
      <c r="G149" s="157"/>
      <c r="H149" s="157"/>
      <c r="I149" s="157"/>
      <c r="J149" s="157"/>
      <c r="K149" s="158"/>
    </row>
    <row r="150" spans="1:255" ht="13.5" thickBot="1" x14ac:dyDescent="0.25">
      <c r="A150" s="123"/>
      <c r="B150" s="122"/>
      <c r="C150" s="122"/>
      <c r="D150" s="122"/>
      <c r="E150" s="122"/>
      <c r="F150" s="122"/>
      <c r="G150" s="122"/>
      <c r="H150" s="132">
        <f>R150</f>
        <v>5.25</v>
      </c>
      <c r="I150" s="133"/>
      <c r="J150" s="132">
        <f>S150</f>
        <v>65.63</v>
      </c>
      <c r="K150" s="134"/>
      <c r="O150" s="26"/>
      <c r="P150" s="26"/>
      <c r="Q150" s="26"/>
      <c r="R150" s="26">
        <f>SUM(T148:T149)</f>
        <v>5.25</v>
      </c>
      <c r="S150" s="26">
        <f>SUM(U148:U149)</f>
        <v>65.63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>
        <f>R150</f>
        <v>5.25</v>
      </c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</row>
    <row r="151" spans="1:255" x14ac:dyDescent="0.2">
      <c r="A151" s="168"/>
      <c r="B151" s="168"/>
      <c r="C151" s="169" t="s">
        <v>444</v>
      </c>
      <c r="D151" s="169"/>
      <c r="E151" s="169"/>
      <c r="F151" s="169"/>
      <c r="G151" s="169"/>
      <c r="H151" s="170">
        <f>FM151</f>
        <v>28556.050000000003</v>
      </c>
      <c r="I151" s="170"/>
      <c r="J151" s="170">
        <f>DP151</f>
        <v>357196.7</v>
      </c>
      <c r="K151" s="170"/>
      <c r="P151" s="26">
        <f>SUM(R47:R150)</f>
        <v>28556.050000000003</v>
      </c>
      <c r="Q151" s="26">
        <f>SUM(S47:S150)</f>
        <v>357196.7</v>
      </c>
      <c r="R151" s="26"/>
      <c r="S151" s="26"/>
      <c r="T151" s="26"/>
      <c r="U151" s="26"/>
      <c r="V151" s="26"/>
      <c r="W151" s="26"/>
      <c r="CW151">
        <f>Source!DM67</f>
        <v>53.182400000000001</v>
      </c>
      <c r="CX151">
        <f>Source!DN67</f>
        <v>16.384500000000003</v>
      </c>
      <c r="CY151">
        <f>Source!DG67</f>
        <v>342538.11</v>
      </c>
      <c r="CZ151">
        <f>Source!DK67</f>
        <v>6668.9</v>
      </c>
      <c r="DA151">
        <f>Source!DI67</f>
        <v>32687.7</v>
      </c>
      <c r="DB151">
        <f>Source!DJ67</f>
        <v>2475.09</v>
      </c>
      <c r="DC151">
        <f>Source!DH67</f>
        <v>303181.51</v>
      </c>
      <c r="DD151">
        <f>Source!EG67</f>
        <v>0</v>
      </c>
      <c r="DE151">
        <f>Source!EN67</f>
        <v>303181.51</v>
      </c>
      <c r="DF151">
        <f>Source!EO67</f>
        <v>303181.51</v>
      </c>
      <c r="DG151">
        <f>Source!EP67</f>
        <v>0</v>
      </c>
      <c r="DH151">
        <f>Source!EQ67</f>
        <v>303181.51</v>
      </c>
      <c r="DI151">
        <f>Source!EH67</f>
        <v>0</v>
      </c>
      <c r="DJ151">
        <f>Source!EI67</f>
        <v>0</v>
      </c>
      <c r="DK151">
        <f>Source!ER67</f>
        <v>0</v>
      </c>
      <c r="DL151">
        <f>Source!DL67</f>
        <v>0</v>
      </c>
      <c r="DM151">
        <f>Source!DO67</f>
        <v>0</v>
      </c>
      <c r="DN151">
        <f>Source!DP67</f>
        <v>9088.41</v>
      </c>
      <c r="DO151">
        <f>Source!DQ67</f>
        <v>5570.18</v>
      </c>
      <c r="DP151">
        <f>Source!EJ67</f>
        <v>357196.7</v>
      </c>
      <c r="DQ151">
        <f>Source!EK67</f>
        <v>352167.29</v>
      </c>
      <c r="DR151">
        <f>Source!EL67</f>
        <v>4250.97</v>
      </c>
      <c r="DS151">
        <f>Source!EH67</f>
        <v>0</v>
      </c>
      <c r="DT151">
        <f>Source!EM67</f>
        <v>778.44</v>
      </c>
      <c r="DU151">
        <f>Source!EK67+Source!EL67</f>
        <v>356418.25999999995</v>
      </c>
      <c r="DW151">
        <f>Source!ES67</f>
        <v>0</v>
      </c>
      <c r="DX151">
        <f>Source!ET67</f>
        <v>0</v>
      </c>
      <c r="DY151">
        <f>Source!EU67</f>
        <v>0</v>
      </c>
      <c r="ET151">
        <f>Source!DM67</f>
        <v>53.182400000000001</v>
      </c>
      <c r="EU151">
        <f>Source!DN67</f>
        <v>16.384500000000003</v>
      </c>
      <c r="EV151">
        <f>SUM(GJ47:GJ150)</f>
        <v>27393.430000000004</v>
      </c>
      <c r="EW151">
        <f>SUM(GK47:GK150)</f>
        <v>523.8900000000001</v>
      </c>
      <c r="EX151">
        <f>SUM(GL47:GL150)</f>
        <v>2615.02</v>
      </c>
      <c r="EY151">
        <f>SUM(GM47:GM150)</f>
        <v>198.01</v>
      </c>
      <c r="EZ151">
        <f>SUM(GN47:GN150)</f>
        <v>24254.52</v>
      </c>
      <c r="FA151">
        <f>SUM(GO47:GO150)</f>
        <v>0</v>
      </c>
      <c r="FB151">
        <f>SUM(GP47:GP150)</f>
        <v>24254.52</v>
      </c>
      <c r="FC151">
        <f>SUM(GQ47:GQ150)</f>
        <v>24254.52</v>
      </c>
      <c r="FD151">
        <f>SUM(GR47:GR150)</f>
        <v>0</v>
      </c>
      <c r="FE151">
        <f>SUM(GS47:GS150)</f>
        <v>24254.52</v>
      </c>
      <c r="FF151">
        <f>SUM(GT47:GT150)</f>
        <v>0</v>
      </c>
      <c r="FG151">
        <f>SUM(GU47:GU150)</f>
        <v>0</v>
      </c>
      <c r="FH151">
        <f>SUM(GV47:GV150)</f>
        <v>0</v>
      </c>
      <c r="FI151">
        <f>SUM(GW47:GW150)</f>
        <v>0</v>
      </c>
      <c r="FJ151">
        <f>SUM(GX47:GX150)</f>
        <v>0</v>
      </c>
      <c r="FK151">
        <f>SUM(GY47:GY150)</f>
        <v>720.84</v>
      </c>
      <c r="FL151">
        <f>SUM(GZ47:GZ150)</f>
        <v>441.78000000000003</v>
      </c>
      <c r="FM151">
        <f>SUM(HA47:HA150)</f>
        <v>28556.050000000003</v>
      </c>
      <c r="FN151">
        <f>SUM(HB47:HB150)</f>
        <v>28173.4</v>
      </c>
      <c r="FO151">
        <f>SUM(HC47:HC150)</f>
        <v>340.11</v>
      </c>
      <c r="FP151">
        <f>SUM(HD47:HD150)</f>
        <v>0</v>
      </c>
      <c r="FQ151">
        <f>SUM(HE47:HE150)</f>
        <v>42.540000000000006</v>
      </c>
      <c r="FR151">
        <f>FN151+FO151</f>
        <v>28513.510000000002</v>
      </c>
      <c r="FS151">
        <f>SUM(HG47:HG150)</f>
        <v>0</v>
      </c>
      <c r="FT151">
        <f>SUM(HH47:HH150)</f>
        <v>0</v>
      </c>
      <c r="FU151">
        <f>SUM(HI47:HI150)</f>
        <v>0</v>
      </c>
      <c r="FV151">
        <f>SUM(HJ47:HJ150)</f>
        <v>0</v>
      </c>
    </row>
    <row r="152" spans="1:255" x14ac:dyDescent="0.2">
      <c r="H152" s="53"/>
      <c r="I152" s="53"/>
      <c r="J152" s="53"/>
      <c r="K152" s="53"/>
    </row>
    <row r="153" spans="1:255" x14ac:dyDescent="0.2">
      <c r="C153" s="40"/>
      <c r="D153" s="40"/>
      <c r="E153" s="40"/>
      <c r="F153" s="40"/>
      <c r="G153" s="40"/>
      <c r="H153" s="175"/>
      <c r="I153" s="175"/>
      <c r="J153" s="175"/>
      <c r="K153" s="53"/>
    </row>
    <row r="154" spans="1:255" x14ac:dyDescent="0.2">
      <c r="A154" s="172"/>
      <c r="B154" s="172"/>
      <c r="C154" s="174" t="s">
        <v>448</v>
      </c>
      <c r="D154" s="174"/>
      <c r="E154" s="174"/>
      <c r="F154" s="174"/>
      <c r="G154" s="174"/>
      <c r="H154" s="176">
        <f>FK151</f>
        <v>720.84</v>
      </c>
      <c r="I154" s="176"/>
      <c r="J154" s="176">
        <f>DN151</f>
        <v>9088.41</v>
      </c>
      <c r="K154" s="171"/>
    </row>
    <row r="155" spans="1:255" x14ac:dyDescent="0.2">
      <c r="A155" s="172"/>
      <c r="B155" s="172"/>
      <c r="C155" s="174" t="s">
        <v>449</v>
      </c>
      <c r="D155" s="174"/>
      <c r="E155" s="174"/>
      <c r="F155" s="174"/>
      <c r="G155" s="174"/>
      <c r="H155" s="176">
        <f>FL151</f>
        <v>441.78000000000003</v>
      </c>
      <c r="I155" s="176"/>
      <c r="J155" s="176">
        <f>DO151</f>
        <v>5570.18</v>
      </c>
      <c r="K155" s="171"/>
    </row>
    <row r="156" spans="1:255" x14ac:dyDescent="0.2">
      <c r="A156" s="172"/>
      <c r="B156" s="172"/>
      <c r="C156" s="174" t="s">
        <v>450</v>
      </c>
      <c r="D156" s="174"/>
      <c r="E156" s="174"/>
      <c r="F156" s="174"/>
      <c r="G156" s="174"/>
      <c r="H156" s="176">
        <f>FM151</f>
        <v>28556.050000000003</v>
      </c>
      <c r="I156" s="176"/>
      <c r="J156" s="176">
        <f>DP151</f>
        <v>357196.7</v>
      </c>
      <c r="K156" s="171"/>
    </row>
    <row r="157" spans="1:255" x14ac:dyDescent="0.2">
      <c r="C157" s="40" t="s">
        <v>451</v>
      </c>
      <c r="D157" s="40"/>
      <c r="E157" s="40"/>
      <c r="F157" s="40"/>
      <c r="G157" s="40"/>
      <c r="H157" s="175"/>
      <c r="I157" s="175"/>
      <c r="J157" s="175"/>
      <c r="K157" s="53"/>
    </row>
    <row r="158" spans="1:255" x14ac:dyDescent="0.2">
      <c r="C158" s="40" t="s">
        <v>452</v>
      </c>
      <c r="D158" s="40"/>
      <c r="E158" s="40"/>
      <c r="F158" s="40"/>
      <c r="G158" s="40"/>
      <c r="H158" s="177">
        <f>FN151</f>
        <v>28173.4</v>
      </c>
      <c r="I158" s="177"/>
      <c r="J158" s="177">
        <f>DQ151</f>
        <v>352167.29</v>
      </c>
      <c r="K158" s="171"/>
    </row>
    <row r="159" spans="1:255" x14ac:dyDescent="0.2">
      <c r="C159" s="40" t="s">
        <v>453</v>
      </c>
      <c r="D159" s="40"/>
      <c r="E159" s="40"/>
      <c r="F159" s="40"/>
      <c r="G159" s="40"/>
      <c r="H159" s="177">
        <f>FO151</f>
        <v>340.11</v>
      </c>
      <c r="I159" s="177"/>
      <c r="J159" s="177">
        <f>DR151</f>
        <v>4250.97</v>
      </c>
      <c r="K159" s="171"/>
    </row>
    <row r="160" spans="1:255" hidden="1" x14ac:dyDescent="0.2">
      <c r="C160" s="40" t="s">
        <v>454</v>
      </c>
      <c r="D160" s="40"/>
      <c r="E160" s="40"/>
      <c r="F160" s="40"/>
      <c r="G160" s="40"/>
      <c r="H160" s="177">
        <f>FP151</f>
        <v>0</v>
      </c>
      <c r="I160" s="177"/>
      <c r="J160" s="177">
        <f>DS151</f>
        <v>0</v>
      </c>
      <c r="K160" s="171"/>
    </row>
    <row r="161" spans="1:255" x14ac:dyDescent="0.2">
      <c r="C161" s="40" t="s">
        <v>455</v>
      </c>
      <c r="D161" s="40"/>
      <c r="E161" s="40"/>
      <c r="F161" s="40"/>
      <c r="G161" s="40"/>
      <c r="H161" s="177">
        <f>FQ151</f>
        <v>42.540000000000006</v>
      </c>
      <c r="I161" s="177"/>
      <c r="J161" s="177">
        <f>DT151</f>
        <v>778.44</v>
      </c>
      <c r="K161" s="171"/>
    </row>
    <row r="162" spans="1:255" x14ac:dyDescent="0.2">
      <c r="C162" s="40"/>
      <c r="D162" s="40"/>
      <c r="E162" s="40"/>
      <c r="F162" s="40"/>
      <c r="G162" s="40"/>
      <c r="H162" s="175"/>
      <c r="I162" s="175"/>
      <c r="J162" s="175"/>
      <c r="K162" s="53"/>
    </row>
    <row r="163" spans="1:255" x14ac:dyDescent="0.2">
      <c r="C163" s="40" t="s">
        <v>456</v>
      </c>
      <c r="D163" s="40"/>
      <c r="E163" s="40"/>
      <c r="F163" s="40"/>
      <c r="G163" s="40"/>
      <c r="H163" s="177">
        <f>H156</f>
        <v>28556.050000000003</v>
      </c>
      <c r="I163" s="177"/>
      <c r="J163" s="177">
        <f>J156</f>
        <v>357196.7</v>
      </c>
      <c r="K163" s="171"/>
    </row>
    <row r="164" spans="1:255" x14ac:dyDescent="0.2">
      <c r="C164" s="40" t="s">
        <v>457</v>
      </c>
      <c r="D164" s="40"/>
      <c r="E164" s="178">
        <v>20</v>
      </c>
      <c r="F164" s="179" t="s">
        <v>425</v>
      </c>
      <c r="G164" s="40"/>
      <c r="H164" s="40"/>
      <c r="I164" s="40"/>
      <c r="J164" s="177">
        <f>ROUND(J163*E164/100,2)</f>
        <v>71439.34</v>
      </c>
      <c r="K164" s="173"/>
    </row>
    <row r="165" spans="1:255" x14ac:dyDescent="0.2">
      <c r="C165" s="40" t="s">
        <v>458</v>
      </c>
      <c r="D165" s="40"/>
      <c r="E165" s="40"/>
      <c r="F165" s="40"/>
      <c r="G165" s="40"/>
      <c r="H165" s="40"/>
      <c r="I165" s="40"/>
      <c r="J165" s="177">
        <f>J164+J163</f>
        <v>428636.04000000004</v>
      </c>
      <c r="K165" s="171"/>
    </row>
    <row r="166" spans="1:255" x14ac:dyDescent="0.2">
      <c r="C166" s="40"/>
      <c r="D166" s="40"/>
      <c r="E166" s="40"/>
      <c r="F166" s="40"/>
      <c r="G166" s="40"/>
      <c r="H166" s="40"/>
      <c r="I166" s="40"/>
      <c r="J166" s="175"/>
      <c r="K166" s="53"/>
    </row>
    <row r="167" spans="1:255" hidden="1" outlineLevel="1" x14ac:dyDescent="0.2">
      <c r="C167" s="40"/>
      <c r="D167" s="40"/>
      <c r="E167" s="40"/>
      <c r="F167" s="40"/>
      <c r="G167" s="40"/>
      <c r="H167" s="40"/>
      <c r="I167" s="40"/>
      <c r="J167" s="40"/>
    </row>
    <row r="168" spans="1:255" hidden="1" outlineLevel="1" x14ac:dyDescent="0.2"/>
    <row r="169" spans="1:255" hidden="1" outlineLevel="1" x14ac:dyDescent="0.2">
      <c r="A169" s="180" t="s">
        <v>459</v>
      </c>
      <c r="B169" s="180"/>
      <c r="C169" s="182"/>
      <c r="D169" s="182"/>
      <c r="E169" s="182"/>
      <c r="F169" s="182"/>
      <c r="G169" s="181"/>
      <c r="H169" s="181"/>
      <c r="I169" s="182"/>
      <c r="J169" s="182"/>
      <c r="BY169" s="183">
        <f>C169</f>
        <v>0</v>
      </c>
      <c r="BZ169" s="183">
        <f>I169</f>
        <v>0</v>
      </c>
      <c r="IU169" s="26"/>
    </row>
    <row r="170" spans="1:255" s="185" customFormat="1" ht="11.25" hidden="1" outlineLevel="1" x14ac:dyDescent="0.2">
      <c r="A170" s="184"/>
      <c r="B170" s="184"/>
      <c r="C170" s="186" t="s">
        <v>460</v>
      </c>
      <c r="D170" s="186"/>
      <c r="E170" s="186"/>
      <c r="F170" s="186"/>
      <c r="G170" s="186"/>
      <c r="H170" s="186"/>
      <c r="I170" s="186" t="s">
        <v>461</v>
      </c>
      <c r="J170" s="186"/>
    </row>
    <row r="171" spans="1:255" hidden="1" outlineLevel="1" x14ac:dyDescent="0.2">
      <c r="A171" s="21"/>
      <c r="B171" s="21"/>
      <c r="C171" s="21"/>
      <c r="D171" s="21"/>
      <c r="E171" s="21"/>
      <c r="F171" s="21"/>
      <c r="G171" s="11" t="s">
        <v>462</v>
      </c>
      <c r="H171" s="21"/>
      <c r="I171" s="21"/>
      <c r="J171" s="21"/>
    </row>
    <row r="172" spans="1:255" hidden="1" outlineLevel="1" x14ac:dyDescent="0.2">
      <c r="A172" s="180" t="s">
        <v>463</v>
      </c>
      <c r="B172" s="180"/>
      <c r="C172" s="182"/>
      <c r="D172" s="182"/>
      <c r="E172" s="182"/>
      <c r="F172" s="182"/>
      <c r="G172" s="181"/>
      <c r="H172" s="181"/>
      <c r="I172" s="182"/>
      <c r="J172" s="182"/>
      <c r="BY172" s="183">
        <f>C172</f>
        <v>0</v>
      </c>
      <c r="BZ172" s="183">
        <f>I172</f>
        <v>0</v>
      </c>
      <c r="IU172" s="26"/>
    </row>
    <row r="173" spans="1:255" s="185" customFormat="1" ht="11.25" hidden="1" outlineLevel="1" x14ac:dyDescent="0.2">
      <c r="A173" s="184"/>
      <c r="B173" s="184"/>
      <c r="C173" s="186" t="s">
        <v>460</v>
      </c>
      <c r="D173" s="186"/>
      <c r="E173" s="186"/>
      <c r="F173" s="186"/>
      <c r="G173" s="186"/>
      <c r="H173" s="186"/>
      <c r="I173" s="186" t="s">
        <v>461</v>
      </c>
      <c r="J173" s="186"/>
    </row>
    <row r="174" spans="1:255" hidden="1" outlineLevel="1" x14ac:dyDescent="0.2">
      <c r="A174" s="21"/>
      <c r="B174" s="21"/>
      <c r="C174" s="21"/>
      <c r="D174" s="21"/>
      <c r="E174" s="21"/>
      <c r="F174" s="21"/>
      <c r="G174" s="11" t="s">
        <v>462</v>
      </c>
      <c r="H174" s="21"/>
      <c r="I174" s="21"/>
      <c r="J174" s="21"/>
    </row>
    <row r="176" spans="1:255" outlineLevel="1" x14ac:dyDescent="0.2"/>
    <row r="177" spans="1:255" outlineLevel="1" x14ac:dyDescent="0.2"/>
    <row r="178" spans="1:255" outlineLevel="1" x14ac:dyDescent="0.2">
      <c r="A178" s="180" t="s">
        <v>464</v>
      </c>
      <c r="B178" s="180"/>
      <c r="C178" s="182"/>
      <c r="D178" s="182"/>
      <c r="E178" s="182"/>
      <c r="F178" s="182"/>
      <c r="G178" s="181"/>
      <c r="H178" s="181"/>
      <c r="I178" s="182"/>
      <c r="J178" s="182"/>
      <c r="BY178" s="183">
        <f>C178</f>
        <v>0</v>
      </c>
      <c r="BZ178" s="183">
        <f>I178</f>
        <v>0</v>
      </c>
      <c r="IU178" s="26"/>
    </row>
    <row r="179" spans="1:255" s="185" customFormat="1" ht="11.25" outlineLevel="1" x14ac:dyDescent="0.2">
      <c r="A179" s="184"/>
      <c r="B179" s="184"/>
      <c r="C179" s="186" t="s">
        <v>460</v>
      </c>
      <c r="D179" s="186"/>
      <c r="E179" s="186"/>
      <c r="F179" s="186"/>
      <c r="G179" s="186"/>
      <c r="H179" s="186"/>
      <c r="I179" s="186" t="s">
        <v>461</v>
      </c>
      <c r="J179" s="186"/>
    </row>
    <row r="180" spans="1:255" outlineLevel="1" x14ac:dyDescent="0.2">
      <c r="A180" s="21"/>
      <c r="B180" s="21"/>
      <c r="C180" s="21"/>
      <c r="D180" s="21"/>
      <c r="E180" s="21"/>
      <c r="F180" s="21"/>
      <c r="G180" s="11" t="s">
        <v>462</v>
      </c>
      <c r="H180" s="21"/>
      <c r="I180" s="21"/>
      <c r="J180" s="21"/>
    </row>
    <row r="181" spans="1:255" outlineLevel="1" x14ac:dyDescent="0.2">
      <c r="A181" s="180" t="s">
        <v>465</v>
      </c>
      <c r="B181" s="180"/>
      <c r="C181" s="182"/>
      <c r="D181" s="182"/>
      <c r="E181" s="182"/>
      <c r="F181" s="182"/>
      <c r="G181" s="181"/>
      <c r="H181" s="181"/>
      <c r="I181" s="182"/>
      <c r="J181" s="182"/>
      <c r="BY181" s="183">
        <f>C181</f>
        <v>0</v>
      </c>
      <c r="BZ181" s="183">
        <f>I181</f>
        <v>0</v>
      </c>
      <c r="IU181" s="26"/>
    </row>
    <row r="182" spans="1:255" s="185" customFormat="1" ht="11.25" outlineLevel="1" x14ac:dyDescent="0.2">
      <c r="A182" s="184"/>
      <c r="B182" s="184"/>
      <c r="C182" s="186" t="s">
        <v>460</v>
      </c>
      <c r="D182" s="186"/>
      <c r="E182" s="186"/>
      <c r="F182" s="186"/>
      <c r="G182" s="186"/>
      <c r="H182" s="186"/>
      <c r="I182" s="186" t="s">
        <v>461</v>
      </c>
      <c r="J182" s="186"/>
    </row>
    <row r="183" spans="1:255" outlineLevel="1" x14ac:dyDescent="0.2">
      <c r="A183" s="21"/>
      <c r="B183" s="21"/>
      <c r="C183" s="21"/>
      <c r="D183" s="21"/>
      <c r="E183" s="21"/>
      <c r="F183" s="21"/>
      <c r="G183" s="11" t="s">
        <v>462</v>
      </c>
      <c r="H183" s="21"/>
      <c r="I183" s="21"/>
      <c r="J183" s="21"/>
    </row>
  </sheetData>
  <mergeCells count="135">
    <mergeCell ref="C182:H182"/>
    <mergeCell ref="I182:J182"/>
    <mergeCell ref="C178:F178"/>
    <mergeCell ref="I178:J178"/>
    <mergeCell ref="C179:H179"/>
    <mergeCell ref="I179:J179"/>
    <mergeCell ref="C181:F181"/>
    <mergeCell ref="I181:J181"/>
    <mergeCell ref="C170:H170"/>
    <mergeCell ref="I170:J170"/>
    <mergeCell ref="C172:F172"/>
    <mergeCell ref="I172:J172"/>
    <mergeCell ref="C173:H173"/>
    <mergeCell ref="I173:J173"/>
    <mergeCell ref="H163:I163"/>
    <mergeCell ref="J163:K163"/>
    <mergeCell ref="J164:K164"/>
    <mergeCell ref="J165:K165"/>
    <mergeCell ref="J166:K166"/>
    <mergeCell ref="C169:F169"/>
    <mergeCell ref="I169:J169"/>
    <mergeCell ref="H160:I160"/>
    <mergeCell ref="J160:K160"/>
    <mergeCell ref="H161:I161"/>
    <mergeCell ref="J161:K161"/>
    <mergeCell ref="H162:I162"/>
    <mergeCell ref="J162:K162"/>
    <mergeCell ref="H157:I157"/>
    <mergeCell ref="J157:K157"/>
    <mergeCell ref="H158:I158"/>
    <mergeCell ref="J158:K158"/>
    <mergeCell ref="H159:I159"/>
    <mergeCell ref="J159:K159"/>
    <mergeCell ref="H154:I154"/>
    <mergeCell ref="J154:K154"/>
    <mergeCell ref="H155:I155"/>
    <mergeCell ref="J155:K155"/>
    <mergeCell ref="H156:I156"/>
    <mergeCell ref="J156:K156"/>
    <mergeCell ref="H151:I151"/>
    <mergeCell ref="J151:K151"/>
    <mergeCell ref="H152:I152"/>
    <mergeCell ref="J152:K152"/>
    <mergeCell ref="H153:I153"/>
    <mergeCell ref="J153:K153"/>
    <mergeCell ref="H144:I144"/>
    <mergeCell ref="J144:K144"/>
    <mergeCell ref="H147:I147"/>
    <mergeCell ref="J147:K147"/>
    <mergeCell ref="H150:I150"/>
    <mergeCell ref="J150:K150"/>
    <mergeCell ref="H135:I135"/>
    <mergeCell ref="J135:K135"/>
    <mergeCell ref="H138:I138"/>
    <mergeCell ref="J138:K138"/>
    <mergeCell ref="H141:I141"/>
    <mergeCell ref="J141:K141"/>
    <mergeCell ref="H127:I127"/>
    <mergeCell ref="J127:K127"/>
    <mergeCell ref="H130:I130"/>
    <mergeCell ref="J130:K130"/>
    <mergeCell ref="H133:I133"/>
    <mergeCell ref="J133:K133"/>
    <mergeCell ref="H118:I118"/>
    <mergeCell ref="J118:K118"/>
    <mergeCell ref="H121:I121"/>
    <mergeCell ref="J121:K121"/>
    <mergeCell ref="H124:I124"/>
    <mergeCell ref="J124:K124"/>
    <mergeCell ref="H101:I101"/>
    <mergeCell ref="J101:K101"/>
    <mergeCell ref="H107:I107"/>
    <mergeCell ref="J107:K107"/>
    <mergeCell ref="H115:I115"/>
    <mergeCell ref="J115:K115"/>
    <mergeCell ref="H78:I78"/>
    <mergeCell ref="J78:K78"/>
    <mergeCell ref="H85:I85"/>
    <mergeCell ref="J85:K85"/>
    <mergeCell ref="H92:I92"/>
    <mergeCell ref="J92:K92"/>
    <mergeCell ref="H52:I52"/>
    <mergeCell ref="J52:K52"/>
    <mergeCell ref="H61:I61"/>
    <mergeCell ref="J61:K61"/>
    <mergeCell ref="H69:I69"/>
    <mergeCell ref="J69:K69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359</v>
      </c>
    </row>
    <row r="3" spans="1:178" x14ac:dyDescent="0.2">
      <c r="A3">
        <v>3</v>
      </c>
      <c r="B3" t="s">
        <v>360</v>
      </c>
    </row>
    <row r="4" spans="1:178" x14ac:dyDescent="0.2">
      <c r="A4">
        <v>2</v>
      </c>
      <c r="B4" t="s">
        <v>361</v>
      </c>
    </row>
    <row r="5" spans="1:178" x14ac:dyDescent="0.2">
      <c r="A5">
        <v>0</v>
      </c>
      <c r="B5" t="s">
        <v>362</v>
      </c>
    </row>
    <row r="6" spans="1:178" x14ac:dyDescent="0.2">
      <c r="A6">
        <v>2</v>
      </c>
      <c r="B6" t="s">
        <v>363</v>
      </c>
    </row>
    <row r="7" spans="1:178" x14ac:dyDescent="0.2">
      <c r="A7">
        <v>0</v>
      </c>
      <c r="B7" t="s">
        <v>364</v>
      </c>
    </row>
    <row r="8" spans="1:178" x14ac:dyDescent="0.2">
      <c r="A8">
        <v>2</v>
      </c>
      <c r="B8" t="s">
        <v>365</v>
      </c>
    </row>
    <row r="9" spans="1:178" x14ac:dyDescent="0.2">
      <c r="A9">
        <v>0</v>
      </c>
      <c r="B9" t="s">
        <v>366</v>
      </c>
    </row>
    <row r="13" spans="1:178" x14ac:dyDescent="0.2">
      <c r="A13">
        <v>3</v>
      </c>
      <c r="B13" t="s">
        <v>421</v>
      </c>
      <c r="D13" t="s">
        <v>422</v>
      </c>
      <c r="F13" t="s">
        <v>401</v>
      </c>
    </row>
    <row r="14" spans="1:178" x14ac:dyDescent="0.2">
      <c r="A14">
        <v>513</v>
      </c>
      <c r="B14" t="s">
        <v>445</v>
      </c>
      <c r="D14" t="s">
        <v>422</v>
      </c>
      <c r="F14" t="s">
        <v>401</v>
      </c>
      <c r="CW14">
        <f>Source!DM67</f>
        <v>53.182400000000001</v>
      </c>
      <c r="CX14">
        <f>Source!DN67</f>
        <v>16.384500000000003</v>
      </c>
      <c r="CY14">
        <f>Source!DG67</f>
        <v>342538.11</v>
      </c>
      <c r="CZ14">
        <f>Source!DK67</f>
        <v>6668.9</v>
      </c>
      <c r="DA14">
        <f>Source!DI67</f>
        <v>32687.7</v>
      </c>
      <c r="DB14">
        <f>Source!DJ67</f>
        <v>2475.09</v>
      </c>
      <c r="DC14">
        <f>Source!DH67</f>
        <v>303181.51</v>
      </c>
      <c r="DD14">
        <f>Source!EG67</f>
        <v>0</v>
      </c>
      <c r="DE14">
        <f>Source!EN67</f>
        <v>303181.51</v>
      </c>
      <c r="DF14">
        <f>Source!EO67</f>
        <v>303181.51</v>
      </c>
      <c r="DG14">
        <f>Source!EP67</f>
        <v>0</v>
      </c>
      <c r="DH14">
        <f>Source!EQ67</f>
        <v>303181.51</v>
      </c>
      <c r="DI14">
        <f>Source!EH67</f>
        <v>0</v>
      </c>
      <c r="DJ14">
        <f>Source!EI67</f>
        <v>0</v>
      </c>
      <c r="DK14">
        <f>Source!ER67</f>
        <v>0</v>
      </c>
      <c r="DL14">
        <f>Source!DL67</f>
        <v>0</v>
      </c>
      <c r="DM14">
        <f>Source!DO67</f>
        <v>0</v>
      </c>
      <c r="DN14">
        <f>Source!DP67</f>
        <v>9088.41</v>
      </c>
      <c r="DO14">
        <f>Source!DQ67</f>
        <v>5570.18</v>
      </c>
      <c r="DP14">
        <f>Source!EJ67</f>
        <v>357196.7</v>
      </c>
      <c r="DQ14">
        <f>Source!EK67</f>
        <v>352167.29</v>
      </c>
      <c r="DR14">
        <f>Source!EL67</f>
        <v>4250.97</v>
      </c>
      <c r="DS14">
        <f>Source!EH67</f>
        <v>0</v>
      </c>
      <c r="DT14">
        <f>Source!EM67</f>
        <v>778.44</v>
      </c>
      <c r="DU14">
        <f>Source!EK67+Source!EL67</f>
        <v>356418.25999999995</v>
      </c>
      <c r="DW14">
        <f>Source!ES67</f>
        <v>0</v>
      </c>
      <c r="DX14">
        <f>Source!ET67</f>
        <v>0</v>
      </c>
      <c r="DY14">
        <f>Source!EU67</f>
        <v>0</v>
      </c>
      <c r="ET14">
        <f>Source!DM67</f>
        <v>53.182400000000001</v>
      </c>
      <c r="EU14">
        <f>Source!DN67</f>
        <v>16.384500000000003</v>
      </c>
      <c r="EV14">
        <f>SUM('1.Лок.смета.и.Акт'!GJ47:'1.Лок.смета.и.Акт'!GJ150)</f>
        <v>27393.430000000004</v>
      </c>
      <c r="EW14">
        <f>SUM('1.Лок.смета.и.Акт'!GK47:'1.Лок.смета.и.Акт'!GK150)</f>
        <v>523.8900000000001</v>
      </c>
      <c r="EX14">
        <f>SUM('1.Лок.смета.и.Акт'!GL47:'1.Лок.смета.и.Акт'!GL150)</f>
        <v>2615.02</v>
      </c>
      <c r="EY14">
        <f>SUM('1.Лок.смета.и.Акт'!GM47:'1.Лок.смета.и.Акт'!GM150)</f>
        <v>198.01</v>
      </c>
      <c r="EZ14">
        <f>SUM('1.Лок.смета.и.Акт'!GN47:'1.Лок.смета.и.Акт'!GN150)</f>
        <v>24254.52</v>
      </c>
      <c r="FA14">
        <f>SUM('1.Лок.смета.и.Акт'!GO47:'1.Лок.смета.и.Акт'!GO150)</f>
        <v>0</v>
      </c>
      <c r="FB14">
        <f>SUM('1.Лок.смета.и.Акт'!GP47:'1.Лок.смета.и.Акт'!GP150)</f>
        <v>24254.52</v>
      </c>
      <c r="FC14">
        <f>SUM('1.Лок.смета.и.Акт'!GQ47:'1.Лок.смета.и.Акт'!GQ150)</f>
        <v>24254.52</v>
      </c>
      <c r="FD14">
        <f>SUM('1.Лок.смета.и.Акт'!GR47:'1.Лок.смета.и.Акт'!GR150)</f>
        <v>0</v>
      </c>
      <c r="FE14">
        <f>SUM('1.Лок.смета.и.Акт'!GS47:'1.Лок.смета.и.Акт'!GS150)</f>
        <v>24254.52</v>
      </c>
      <c r="FF14">
        <f>SUM('1.Лок.смета.и.Акт'!GT47:'1.Лок.смета.и.Акт'!GT150)</f>
        <v>0</v>
      </c>
      <c r="FG14">
        <f>SUM('1.Лок.смета.и.Акт'!GU47:'1.Лок.смета.и.Акт'!GU150)</f>
        <v>0</v>
      </c>
      <c r="FH14">
        <f>SUM('1.Лок.смета.и.Акт'!GV47:'1.Лок.смета.и.Акт'!GV150)</f>
        <v>0</v>
      </c>
      <c r="FI14">
        <f>SUM('1.Лок.смета.и.Акт'!GW47:'1.Лок.смета.и.Акт'!GW150)</f>
        <v>0</v>
      </c>
      <c r="FJ14">
        <f>SUM('1.Лок.смета.и.Акт'!GX47:'1.Лок.смета.и.Акт'!GX150)</f>
        <v>0</v>
      </c>
      <c r="FK14">
        <f>SUM('1.Лок.смета.и.Акт'!GY47:'1.Лок.смета.и.Акт'!GY150)</f>
        <v>720.84</v>
      </c>
      <c r="FL14">
        <f>SUM('1.Лок.смета.и.Акт'!GZ47:'1.Лок.смета.и.Акт'!GZ150)</f>
        <v>441.78000000000003</v>
      </c>
      <c r="FM14">
        <f>SUM('1.Лок.смета.и.Акт'!HA47:'1.Лок.смета.и.Акт'!HA150)</f>
        <v>28556.050000000003</v>
      </c>
      <c r="FN14">
        <f>SUM('1.Лок.смета.и.Акт'!HB47:'1.Лок.смета.и.Акт'!HB150)</f>
        <v>28173.4</v>
      </c>
      <c r="FO14">
        <f>SUM('1.Лок.смета.и.Акт'!HC47:'1.Лок.смета.и.Акт'!HC150)</f>
        <v>340.11</v>
      </c>
      <c r="FP14">
        <f>SUM('1.Лок.смета.и.Акт'!HD47:'1.Лок.смета.и.Акт'!HD150)</f>
        <v>0</v>
      </c>
      <c r="FQ14">
        <f>SUM('1.Лок.смета.и.Акт'!HE47:'1.Лок.смета.и.Акт'!HE150)</f>
        <v>42.540000000000006</v>
      </c>
      <c r="FR14">
        <f>'1.Лок.смета.и.Акт'!FN151+'1.Лок.смета.и.Акт'!FO151</f>
        <v>28513.510000000002</v>
      </c>
      <c r="FS14">
        <f>SUM('1.Лок.смета.и.Акт'!HG47:'1.Лок.смета.и.Акт'!HG150)</f>
        <v>0</v>
      </c>
      <c r="FT14">
        <f>SUM('1.Лок.смета.и.Акт'!HH47:'1.Лок.смета.и.Акт'!HH150)</f>
        <v>0</v>
      </c>
      <c r="FU14">
        <f>SUM('1.Лок.смета.и.Акт'!HI47:'1.Лок.смета.и.Акт'!HI150)</f>
        <v>0</v>
      </c>
      <c r="FV14">
        <f>SUM('1.Лок.смета.и.Акт'!HJ47:'1.Лок.смета.и.Акт'!HJ150)</f>
        <v>0</v>
      </c>
    </row>
    <row r="15" spans="1:178" x14ac:dyDescent="0.2">
      <c r="A15">
        <v>999</v>
      </c>
      <c r="B15" t="s">
        <v>466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5"/>
  <sheetViews>
    <sheetView workbookViewId="0">
      <selection activeCell="A161" sqref="A161:AH161"/>
    </sheetView>
  </sheetViews>
  <sheetFormatPr defaultColWidth="9.140625" defaultRowHeight="12.75" x14ac:dyDescent="0.2"/>
  <cols>
    <col min="1" max="256" width="9.140625" customWidth="1"/>
  </cols>
  <sheetData>
    <row r="1" spans="1:240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  <c r="IF1">
        <v>-1</v>
      </c>
    </row>
    <row r="2" spans="1:240" x14ac:dyDescent="0.2">
      <c r="G2" s="106">
        <f>'2.Материалы'!G62</f>
        <v>297302.43</v>
      </c>
      <c r="H2" t="s">
        <v>519</v>
      </c>
      <c r="IF2">
        <v>-1</v>
      </c>
    </row>
    <row r="3" spans="1:240" x14ac:dyDescent="0.2">
      <c r="IF3">
        <v>-1</v>
      </c>
    </row>
    <row r="4" spans="1:240" x14ac:dyDescent="0.2">
      <c r="IF4">
        <v>-1</v>
      </c>
    </row>
    <row r="5" spans="1:240" x14ac:dyDescent="0.2">
      <c r="G5">
        <v>3</v>
      </c>
      <c r="H5" t="s">
        <v>367</v>
      </c>
      <c r="T5">
        <v>1</v>
      </c>
      <c r="U5" t="s">
        <v>353</v>
      </c>
      <c r="IF5">
        <v>-1</v>
      </c>
    </row>
    <row r="6" spans="1:240" x14ac:dyDescent="0.2">
      <c r="G6">
        <v>50</v>
      </c>
      <c r="H6" t="s">
        <v>356</v>
      </c>
      <c r="IF6">
        <v>-1</v>
      </c>
    </row>
    <row r="7" spans="1:240" x14ac:dyDescent="0.2">
      <c r="G7">
        <v>2</v>
      </c>
      <c r="H7" t="s">
        <v>467</v>
      </c>
      <c r="IF7">
        <v>-1</v>
      </c>
    </row>
    <row r="8" spans="1:240" x14ac:dyDescent="0.2">
      <c r="G8">
        <f>IF((Source!AR67&lt;&gt;'1.Лок.смета.и.Акт'!P151),0,1)</f>
        <v>1</v>
      </c>
      <c r="H8" t="s">
        <v>446</v>
      </c>
      <c r="IF8">
        <v>-1</v>
      </c>
    </row>
    <row r="9" spans="1:240" x14ac:dyDescent="0.2">
      <c r="G9" s="12" t="s">
        <v>357</v>
      </c>
      <c r="H9" t="s">
        <v>358</v>
      </c>
      <c r="T9" t="s">
        <v>354</v>
      </c>
      <c r="U9" t="s">
        <v>355</v>
      </c>
      <c r="IF9">
        <v>-1</v>
      </c>
    </row>
    <row r="10" spans="1:240" x14ac:dyDescent="0.2">
      <c r="IF10">
        <v>-1</v>
      </c>
    </row>
    <row r="11" spans="1:240" x14ac:dyDescent="0.2">
      <c r="IF11">
        <v>-1</v>
      </c>
    </row>
    <row r="12" spans="1:240" x14ac:dyDescent="0.2">
      <c r="A12" s="1">
        <v>1</v>
      </c>
      <c r="B12" s="1">
        <v>159</v>
      </c>
      <c r="C12" s="1">
        <v>0</v>
      </c>
      <c r="D12" s="1">
        <f>ROW(A96)</f>
        <v>96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565256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  <c r="IF12">
        <v>-1</v>
      </c>
    </row>
    <row r="13" spans="1:240" x14ac:dyDescent="0.2">
      <c r="IF13">
        <v>-1</v>
      </c>
    </row>
    <row r="14" spans="1:240" x14ac:dyDescent="0.2">
      <c r="IF14">
        <v>-1</v>
      </c>
    </row>
    <row r="15" spans="1:240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IF15">
        <v>-1</v>
      </c>
    </row>
    <row r="16" spans="1:240" x14ac:dyDescent="0.2">
      <c r="IF16">
        <v>-1</v>
      </c>
    </row>
    <row r="17" spans="1:255" x14ac:dyDescent="0.2">
      <c r="IF17">
        <v>-1</v>
      </c>
    </row>
    <row r="18" spans="1:255" x14ac:dyDescent="0.2">
      <c r="A18" s="3">
        <v>52</v>
      </c>
      <c r="B18" s="3">
        <f t="shared" ref="B18:G18" si="0">B96</f>
        <v>159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Установка ПКУ В РУ-10 кВ ТП514</v>
      </c>
      <c r="H18" s="3"/>
      <c r="I18" s="3"/>
      <c r="J18" s="3"/>
      <c r="K18" s="3"/>
      <c r="L18" s="3"/>
      <c r="M18" s="3"/>
      <c r="N18" s="3"/>
      <c r="O18" s="3">
        <f t="shared" ref="O18:AT18" si="1">O96</f>
        <v>27393.43</v>
      </c>
      <c r="P18" s="3">
        <f t="shared" si="1"/>
        <v>24254.52</v>
      </c>
      <c r="Q18" s="3">
        <f t="shared" si="1"/>
        <v>2615.02</v>
      </c>
      <c r="R18" s="3">
        <f t="shared" si="1"/>
        <v>198.01</v>
      </c>
      <c r="S18" s="3">
        <f t="shared" si="1"/>
        <v>523.89</v>
      </c>
      <c r="T18" s="3">
        <f t="shared" si="1"/>
        <v>0</v>
      </c>
      <c r="U18" s="3">
        <f t="shared" si="1"/>
        <v>53.182400000000001</v>
      </c>
      <c r="V18" s="3">
        <f t="shared" si="1"/>
        <v>16.384500000000003</v>
      </c>
      <c r="W18" s="3">
        <f t="shared" si="1"/>
        <v>0</v>
      </c>
      <c r="X18" s="3">
        <f t="shared" si="1"/>
        <v>720.84</v>
      </c>
      <c r="Y18" s="3">
        <f t="shared" si="1"/>
        <v>441.78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28556.05</v>
      </c>
      <c r="AS18" s="3">
        <f t="shared" si="1"/>
        <v>28173.4</v>
      </c>
      <c r="AT18" s="3">
        <f t="shared" si="1"/>
        <v>340.11</v>
      </c>
      <c r="AU18" s="3">
        <f t="shared" ref="AU18:BZ18" si="2">AU96</f>
        <v>42.54</v>
      </c>
      <c r="AV18" s="3">
        <f t="shared" si="2"/>
        <v>24254.52</v>
      </c>
      <c r="AW18" s="3">
        <f t="shared" si="2"/>
        <v>24254.52</v>
      </c>
      <c r="AX18" s="3">
        <f t="shared" si="2"/>
        <v>0</v>
      </c>
      <c r="AY18" s="3">
        <f t="shared" si="2"/>
        <v>24254.52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CA96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DG96</f>
        <v>342538.11</v>
      </c>
      <c r="DH18" s="4">
        <f t="shared" si="4"/>
        <v>303181.51</v>
      </c>
      <c r="DI18" s="4">
        <f t="shared" si="4"/>
        <v>32687.7</v>
      </c>
      <c r="DJ18" s="4">
        <f t="shared" si="4"/>
        <v>2475.09</v>
      </c>
      <c r="DK18" s="4">
        <f t="shared" si="4"/>
        <v>6668.9</v>
      </c>
      <c r="DL18" s="4">
        <f t="shared" si="4"/>
        <v>0</v>
      </c>
      <c r="DM18" s="4">
        <f t="shared" si="4"/>
        <v>53.182400000000001</v>
      </c>
      <c r="DN18" s="4">
        <f t="shared" si="4"/>
        <v>16.384500000000003</v>
      </c>
      <c r="DO18" s="4">
        <f t="shared" si="4"/>
        <v>0</v>
      </c>
      <c r="DP18" s="4">
        <f t="shared" si="4"/>
        <v>9088.41</v>
      </c>
      <c r="DQ18" s="4">
        <f t="shared" si="4"/>
        <v>5570.18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357196.7</v>
      </c>
      <c r="EK18" s="4">
        <f t="shared" si="4"/>
        <v>352167.29</v>
      </c>
      <c r="EL18" s="4">
        <f t="shared" si="4"/>
        <v>4250.97</v>
      </c>
      <c r="EM18" s="4">
        <f t="shared" ref="EM18:FR18" si="5">EM96</f>
        <v>778.44</v>
      </c>
      <c r="EN18" s="4">
        <f t="shared" si="5"/>
        <v>303181.51</v>
      </c>
      <c r="EO18" s="4">
        <f t="shared" si="5"/>
        <v>303181.51</v>
      </c>
      <c r="EP18" s="4">
        <f t="shared" si="5"/>
        <v>0</v>
      </c>
      <c r="EQ18" s="4">
        <f t="shared" si="5"/>
        <v>303181.51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FS96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  <c r="IF18">
        <v>-1</v>
      </c>
    </row>
    <row r="19" spans="1:255" x14ac:dyDescent="0.2">
      <c r="IF19">
        <v>-1</v>
      </c>
    </row>
    <row r="20" spans="1:255" x14ac:dyDescent="0.2">
      <c r="A20" s="1">
        <v>3</v>
      </c>
      <c r="B20" s="1">
        <v>1</v>
      </c>
      <c r="C20" s="1"/>
      <c r="D20" s="1">
        <f>ROW(A67)</f>
        <v>67</v>
      </c>
      <c r="E20" s="1"/>
      <c r="F20" s="1" t="s">
        <v>12</v>
      </c>
      <c r="G20" s="1" t="s">
        <v>12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IF20">
        <v>-1</v>
      </c>
    </row>
    <row r="21" spans="1:255" x14ac:dyDescent="0.2">
      <c r="IF21">
        <v>-1</v>
      </c>
    </row>
    <row r="22" spans="1:255" x14ac:dyDescent="0.2">
      <c r="A22" s="3">
        <v>52</v>
      </c>
      <c r="B22" s="3">
        <f t="shared" ref="B22:G22" si="7">B67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O67</f>
        <v>27393.43</v>
      </c>
      <c r="P22" s="3">
        <f t="shared" si="8"/>
        <v>24254.52</v>
      </c>
      <c r="Q22" s="3">
        <f t="shared" si="8"/>
        <v>2615.02</v>
      </c>
      <c r="R22" s="3">
        <f t="shared" si="8"/>
        <v>198.01</v>
      </c>
      <c r="S22" s="3">
        <f t="shared" si="8"/>
        <v>523.89</v>
      </c>
      <c r="T22" s="3">
        <f t="shared" si="8"/>
        <v>0</v>
      </c>
      <c r="U22" s="3">
        <f t="shared" si="8"/>
        <v>53.182400000000001</v>
      </c>
      <c r="V22" s="3">
        <f t="shared" si="8"/>
        <v>16.384500000000003</v>
      </c>
      <c r="W22" s="3">
        <f t="shared" si="8"/>
        <v>0</v>
      </c>
      <c r="X22" s="3">
        <f t="shared" si="8"/>
        <v>720.84</v>
      </c>
      <c r="Y22" s="3">
        <f t="shared" si="8"/>
        <v>441.78</v>
      </c>
      <c r="Z22" s="3">
        <f t="shared" si="8"/>
        <v>0</v>
      </c>
      <c r="AA22" s="3">
        <f t="shared" si="8"/>
        <v>0</v>
      </c>
      <c r="AB22" s="3">
        <f t="shared" si="8"/>
        <v>27393.43</v>
      </c>
      <c r="AC22" s="3">
        <f t="shared" si="8"/>
        <v>24254.52</v>
      </c>
      <c r="AD22" s="3">
        <f t="shared" si="8"/>
        <v>2615.02</v>
      </c>
      <c r="AE22" s="3">
        <f t="shared" si="8"/>
        <v>198.01</v>
      </c>
      <c r="AF22" s="3">
        <f t="shared" si="8"/>
        <v>523.89</v>
      </c>
      <c r="AG22" s="3">
        <f t="shared" si="8"/>
        <v>0</v>
      </c>
      <c r="AH22" s="3">
        <f t="shared" si="8"/>
        <v>53.182400000000001</v>
      </c>
      <c r="AI22" s="3">
        <f t="shared" si="8"/>
        <v>16.384500000000003</v>
      </c>
      <c r="AJ22" s="3">
        <f t="shared" si="8"/>
        <v>0</v>
      </c>
      <c r="AK22" s="3">
        <f t="shared" si="8"/>
        <v>720.84</v>
      </c>
      <c r="AL22" s="3">
        <f t="shared" si="8"/>
        <v>441.78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28556.05</v>
      </c>
      <c r="AS22" s="3">
        <f t="shared" si="8"/>
        <v>28173.4</v>
      </c>
      <c r="AT22" s="3">
        <f t="shared" si="8"/>
        <v>340.11</v>
      </c>
      <c r="AU22" s="3">
        <f t="shared" ref="AU22:BZ22" si="9">AU67</f>
        <v>42.54</v>
      </c>
      <c r="AV22" s="3">
        <f t="shared" si="9"/>
        <v>24254.52</v>
      </c>
      <c r="AW22" s="3">
        <f t="shared" si="9"/>
        <v>24254.52</v>
      </c>
      <c r="AX22" s="3">
        <f t="shared" si="9"/>
        <v>0</v>
      </c>
      <c r="AY22" s="3">
        <f t="shared" si="9"/>
        <v>24254.52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CA67</f>
        <v>28556.05</v>
      </c>
      <c r="CB22" s="3">
        <f t="shared" si="10"/>
        <v>28173.4</v>
      </c>
      <c r="CC22" s="3">
        <f t="shared" si="10"/>
        <v>340.11</v>
      </c>
      <c r="CD22" s="3">
        <f t="shared" si="10"/>
        <v>42.54</v>
      </c>
      <c r="CE22" s="3">
        <f t="shared" si="10"/>
        <v>24254.52</v>
      </c>
      <c r="CF22" s="3">
        <f t="shared" si="10"/>
        <v>24254.52</v>
      </c>
      <c r="CG22" s="3">
        <f t="shared" si="10"/>
        <v>0</v>
      </c>
      <c r="CH22" s="3">
        <f t="shared" si="10"/>
        <v>24254.52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DG67</f>
        <v>342538.11</v>
      </c>
      <c r="DH22" s="4">
        <f t="shared" si="11"/>
        <v>303181.51</v>
      </c>
      <c r="DI22" s="4">
        <f t="shared" si="11"/>
        <v>32687.7</v>
      </c>
      <c r="DJ22" s="4">
        <f t="shared" si="11"/>
        <v>2475.09</v>
      </c>
      <c r="DK22" s="4">
        <f t="shared" si="11"/>
        <v>6668.9</v>
      </c>
      <c r="DL22" s="4">
        <f t="shared" si="11"/>
        <v>0</v>
      </c>
      <c r="DM22" s="4">
        <f t="shared" si="11"/>
        <v>53.182400000000001</v>
      </c>
      <c r="DN22" s="4">
        <f t="shared" si="11"/>
        <v>16.384500000000003</v>
      </c>
      <c r="DO22" s="4">
        <f t="shared" si="11"/>
        <v>0</v>
      </c>
      <c r="DP22" s="4">
        <f t="shared" si="11"/>
        <v>9088.41</v>
      </c>
      <c r="DQ22" s="4">
        <f t="shared" si="11"/>
        <v>5570.18</v>
      </c>
      <c r="DR22" s="4">
        <f t="shared" si="11"/>
        <v>0</v>
      </c>
      <c r="DS22" s="4">
        <f t="shared" si="11"/>
        <v>0</v>
      </c>
      <c r="DT22" s="4">
        <f t="shared" si="11"/>
        <v>342538.11</v>
      </c>
      <c r="DU22" s="4">
        <f t="shared" si="11"/>
        <v>303181.51</v>
      </c>
      <c r="DV22" s="4">
        <f t="shared" si="11"/>
        <v>32687.7</v>
      </c>
      <c r="DW22" s="4">
        <f t="shared" si="11"/>
        <v>2475.09</v>
      </c>
      <c r="DX22" s="4">
        <f t="shared" si="11"/>
        <v>6668.9</v>
      </c>
      <c r="DY22" s="4">
        <f t="shared" si="11"/>
        <v>0</v>
      </c>
      <c r="DZ22" s="4">
        <f t="shared" si="11"/>
        <v>53.182400000000001</v>
      </c>
      <c r="EA22" s="4">
        <f t="shared" si="11"/>
        <v>16.384500000000003</v>
      </c>
      <c r="EB22" s="4">
        <f t="shared" si="11"/>
        <v>0</v>
      </c>
      <c r="EC22" s="4">
        <f t="shared" si="11"/>
        <v>9088.41</v>
      </c>
      <c r="ED22" s="4">
        <f t="shared" si="11"/>
        <v>5570.18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357196.7</v>
      </c>
      <c r="EK22" s="4">
        <f t="shared" si="11"/>
        <v>352167.29</v>
      </c>
      <c r="EL22" s="4">
        <f t="shared" si="11"/>
        <v>4250.97</v>
      </c>
      <c r="EM22" s="4">
        <f t="shared" ref="EM22:FR22" si="12">EM67</f>
        <v>778.44</v>
      </c>
      <c r="EN22" s="4">
        <f t="shared" si="12"/>
        <v>303181.51</v>
      </c>
      <c r="EO22" s="4">
        <f t="shared" si="12"/>
        <v>303181.51</v>
      </c>
      <c r="EP22" s="4">
        <f t="shared" si="12"/>
        <v>0</v>
      </c>
      <c r="EQ22" s="4">
        <f t="shared" si="12"/>
        <v>303181.51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FS67</f>
        <v>357196.7</v>
      </c>
      <c r="FT22" s="4">
        <f t="shared" si="13"/>
        <v>352167.29</v>
      </c>
      <c r="FU22" s="4">
        <f t="shared" si="13"/>
        <v>4250.97</v>
      </c>
      <c r="FV22" s="4">
        <f t="shared" si="13"/>
        <v>778.44</v>
      </c>
      <c r="FW22" s="4">
        <f t="shared" si="13"/>
        <v>303181.51</v>
      </c>
      <c r="FX22" s="4">
        <f t="shared" si="13"/>
        <v>303181.51</v>
      </c>
      <c r="FY22" s="4">
        <f t="shared" si="13"/>
        <v>0</v>
      </c>
      <c r="FZ22" s="4">
        <f t="shared" si="13"/>
        <v>303181.51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  <c r="IF22">
        <v>-1</v>
      </c>
    </row>
    <row r="23" spans="1:255" x14ac:dyDescent="0.2">
      <c r="IF23">
        <v>-1</v>
      </c>
    </row>
    <row r="24" spans="1:255" x14ac:dyDescent="0.2">
      <c r="A24" s="2">
        <v>17</v>
      </c>
      <c r="B24" s="2">
        <v>1</v>
      </c>
      <c r="C24" s="2">
        <f>ROW(SmtRes!A1)</f>
        <v>1</v>
      </c>
      <c r="D24" s="2">
        <f>ROW(EtalonRes!A2)</f>
        <v>2</v>
      </c>
      <c r="E24" s="2" t="s">
        <v>13</v>
      </c>
      <c r="F24" s="2" t="s">
        <v>14</v>
      </c>
      <c r="G24" s="2" t="s">
        <v>15</v>
      </c>
      <c r="H24" s="2" t="s">
        <v>16</v>
      </c>
      <c r="I24" s="2">
        <f>'1.Лок.смета.и.Акт'!E47</f>
        <v>0.08</v>
      </c>
      <c r="J24" s="2">
        <v>0</v>
      </c>
      <c r="K24" s="2"/>
      <c r="L24" s="2"/>
      <c r="M24" s="2"/>
      <c r="N24" s="2"/>
      <c r="O24" s="2">
        <f t="shared" ref="O24:O65" si="14">ROUND(CP24,2)</f>
        <v>3.75</v>
      </c>
      <c r="P24" s="2">
        <f t="shared" ref="P24:P65" si="15">ROUND(CQ24*I24,2)</f>
        <v>0</v>
      </c>
      <c r="Q24" s="2">
        <f t="shared" ref="Q24:Q65" si="16">ROUND(CR24*I24,2)</f>
        <v>0</v>
      </c>
      <c r="R24" s="2">
        <f t="shared" ref="R24:R65" si="17">ROUND(CS24*I24,2)</f>
        <v>0</v>
      </c>
      <c r="S24" s="2">
        <f t="shared" ref="S24:S65" si="18">ROUND(CT24*I24,2)</f>
        <v>3.75</v>
      </c>
      <c r="T24" s="2">
        <f t="shared" ref="T24:T65" si="19">ROUND(CU24*I24,2)</f>
        <v>0</v>
      </c>
      <c r="U24" s="2">
        <f t="shared" ref="U24:U65" si="20">CV24*I24</f>
        <v>0.43920000000000003</v>
      </c>
      <c r="V24" s="2">
        <f t="shared" ref="V24:V65" si="21">CW24*I24</f>
        <v>0</v>
      </c>
      <c r="W24" s="2">
        <f t="shared" ref="W24:W65" si="22">ROUND(CX24*I24,2)</f>
        <v>0</v>
      </c>
      <c r="X24" s="2">
        <f t="shared" ref="X24:X65" si="23">ROUND(CY24,2)</f>
        <v>2.93</v>
      </c>
      <c r="Y24" s="2">
        <f t="shared" ref="Y24:Y65" si="24">ROUND(CZ24,2)</f>
        <v>1.88</v>
      </c>
      <c r="Z24" s="2"/>
      <c r="AA24" s="2">
        <v>34748518</v>
      </c>
      <c r="AB24" s="2">
        <f t="shared" ref="AB24:AB65" si="25">ROUND((AC24+AD24+AF24),2)</f>
        <v>46.83</v>
      </c>
      <c r="AC24" s="2">
        <f t="shared" ref="AC24:AC65" si="26">ROUND((ES24),2)</f>
        <v>0</v>
      </c>
      <c r="AD24" s="2">
        <f t="shared" ref="AD24:AD65" si="27">ROUND((((ET24)-(EU24))+AE24),2)</f>
        <v>0</v>
      </c>
      <c r="AE24" s="2">
        <f t="shared" ref="AE24:AE65" si="28">ROUND((EU24),2)</f>
        <v>0</v>
      </c>
      <c r="AF24" s="2">
        <f t="shared" ref="AF24:AF65" si="29">ROUND((EV24),2)</f>
        <v>46.83</v>
      </c>
      <c r="AG24" s="2">
        <f t="shared" ref="AG24:AG65" si="30">ROUND((AP24),2)</f>
        <v>0</v>
      </c>
      <c r="AH24" s="2">
        <f t="shared" ref="AH24:AH65" si="31">(EW24)</f>
        <v>5.49</v>
      </c>
      <c r="AI24" s="2">
        <f t="shared" ref="AI24:AI65" si="32">(EX24)</f>
        <v>0</v>
      </c>
      <c r="AJ24" s="2">
        <f t="shared" ref="AJ24:AJ65" si="33">(AS24)</f>
        <v>0</v>
      </c>
      <c r="AK24" s="2">
        <v>46.83</v>
      </c>
      <c r="AL24" s="2">
        <v>0</v>
      </c>
      <c r="AM24" s="2">
        <v>0</v>
      </c>
      <c r="AN24" s="2">
        <v>0</v>
      </c>
      <c r="AO24" s="2">
        <v>46.83</v>
      </c>
      <c r="AP24" s="2">
        <v>0</v>
      </c>
      <c r="AQ24" s="2">
        <v>5.49</v>
      </c>
      <c r="AR24" s="2">
        <v>0</v>
      </c>
      <c r="AS24" s="2">
        <v>0</v>
      </c>
      <c r="AT24" s="2">
        <v>78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17</v>
      </c>
      <c r="BK24" s="2"/>
      <c r="BL24" s="2"/>
      <c r="BM24" s="2">
        <v>69001</v>
      </c>
      <c r="BN24" s="2">
        <v>0</v>
      </c>
      <c r="BO24" s="2" t="s">
        <v>3</v>
      </c>
      <c r="BP24" s="2">
        <v>0</v>
      </c>
      <c r="BQ24" s="2">
        <v>6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78</v>
      </c>
      <c r="CA24" s="2">
        <v>50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65" si="34">(P24+Q24+S24)</f>
        <v>3.75</v>
      </c>
      <c r="CQ24" s="2">
        <f t="shared" ref="CQ24:CQ65" si="35">AC24*BC24</f>
        <v>0</v>
      </c>
      <c r="CR24" s="2">
        <f t="shared" ref="CR24:CR65" si="36">AD24*BB24</f>
        <v>0</v>
      </c>
      <c r="CS24" s="2">
        <f t="shared" ref="CS24:CS65" si="37">AE24*BS24</f>
        <v>0</v>
      </c>
      <c r="CT24" s="2">
        <f t="shared" ref="CT24:CT65" si="38">AF24*BA24</f>
        <v>46.83</v>
      </c>
      <c r="CU24" s="2">
        <f t="shared" ref="CU24:CU65" si="39">AG24</f>
        <v>0</v>
      </c>
      <c r="CV24" s="2">
        <f t="shared" ref="CV24:CV65" si="40">AH24</f>
        <v>5.49</v>
      </c>
      <c r="CW24" s="2">
        <f t="shared" ref="CW24:CW65" si="41">AI24</f>
        <v>0</v>
      </c>
      <c r="CX24" s="2">
        <f t="shared" ref="CX24:CX65" si="42">AJ24</f>
        <v>0</v>
      </c>
      <c r="CY24" s="2">
        <f t="shared" ref="CY24:CY65" si="43">(((S24+(R24*IF(0,0,1)))*AT24)/100)</f>
        <v>2.9249999999999998</v>
      </c>
      <c r="CZ24" s="2">
        <f t="shared" ref="CZ24:CZ65" si="44">(((S24+(R24*IF(0,0,1)))*AU24)/100)</f>
        <v>1.875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16</v>
      </c>
      <c r="DW24" s="2" t="s">
        <v>16</v>
      </c>
      <c r="DX24" s="2">
        <v>1</v>
      </c>
      <c r="DY24" s="2"/>
      <c r="DZ24" s="2"/>
      <c r="EA24" s="2"/>
      <c r="EB24" s="2"/>
      <c r="EC24" s="2"/>
      <c r="ED24" s="2"/>
      <c r="EE24" s="2">
        <v>32653485</v>
      </c>
      <c r="EF24" s="2">
        <v>6</v>
      </c>
      <c r="EG24" s="2" t="s">
        <v>18</v>
      </c>
      <c r="EH24" s="2">
        <v>0</v>
      </c>
      <c r="EI24" s="2" t="s">
        <v>3</v>
      </c>
      <c r="EJ24" s="2">
        <v>1</v>
      </c>
      <c r="EK24" s="2">
        <v>69001</v>
      </c>
      <c r="EL24" s="2" t="s">
        <v>19</v>
      </c>
      <c r="EM24" s="2" t="s">
        <v>20</v>
      </c>
      <c r="EN24" s="2"/>
      <c r="EO24" s="2" t="s">
        <v>3</v>
      </c>
      <c r="EP24" s="2"/>
      <c r="EQ24" s="2">
        <v>0</v>
      </c>
      <c r="ER24" s="2">
        <v>46.83</v>
      </c>
      <c r="ES24" s="2">
        <v>0</v>
      </c>
      <c r="ET24" s="2">
        <v>0</v>
      </c>
      <c r="EU24" s="2">
        <v>0</v>
      </c>
      <c r="EV24" s="2">
        <v>46.83</v>
      </c>
      <c r="EW24" s="2">
        <v>5.49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65" si="45">ROUND(IF(AND(BH24=3,BI24=3),P24,0),2)</f>
        <v>0</v>
      </c>
      <c r="FS24" s="2">
        <v>0</v>
      </c>
      <c r="FT24" s="2"/>
      <c r="FU24" s="2"/>
      <c r="FV24" s="2"/>
      <c r="FW24" s="2"/>
      <c r="FX24" s="2">
        <v>78</v>
      </c>
      <c r="FY24" s="2">
        <v>50</v>
      </c>
      <c r="FZ24" s="2"/>
      <c r="GA24" s="2" t="s">
        <v>3</v>
      </c>
      <c r="GB24" s="2"/>
      <c r="GC24" s="2"/>
      <c r="GD24" s="2">
        <v>1</v>
      </c>
      <c r="GE24" s="2"/>
      <c r="GF24" s="2">
        <v>-1700458268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65" si="46">ROUND(IF(AND(BH24=3,BI24=3,FS24&lt;&gt;0),P24,0),2)</f>
        <v>0</v>
      </c>
      <c r="GM24" s="2">
        <f t="shared" ref="GM24:GM65" si="47">ROUND(O24+X24+Y24,2)+GX24</f>
        <v>8.56</v>
      </c>
      <c r="GN24" s="2">
        <f t="shared" ref="GN24:GN65" si="48">IF(OR(BI24=0,BI24=1),ROUND(O24+X24+Y24,2),0)</f>
        <v>8.56</v>
      </c>
      <c r="GO24" s="2">
        <f t="shared" ref="GO24:GO65" si="49">IF(BI24=2,ROUND(O24+X24+Y24,2),0)</f>
        <v>0</v>
      </c>
      <c r="GP24" s="2">
        <f t="shared" ref="GP24:GP65" si="50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65" si="51">ROUND((GT24),2)</f>
        <v>0</v>
      </c>
      <c r="GW24" s="2">
        <v>1</v>
      </c>
      <c r="GX24" s="2">
        <f t="shared" ref="GX24:GX65" si="52">ROUND(HC24*I24,2)</f>
        <v>0</v>
      </c>
      <c r="GY24" s="2"/>
      <c r="GZ24" s="2"/>
      <c r="HA24" s="2">
        <v>0</v>
      </c>
      <c r="HB24" s="2">
        <v>0</v>
      </c>
      <c r="HC24" s="2">
        <f t="shared" ref="HC24:HC65" si="53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>
        <v>-1</v>
      </c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ROW(SmtRes!A2)</f>
        <v>2</v>
      </c>
      <c r="D25">
        <f>ROW(EtalonRes!A4)</f>
        <v>4</v>
      </c>
      <c r="E25" t="s">
        <v>13</v>
      </c>
      <c r="F25" t="s">
        <v>14</v>
      </c>
      <c r="G25" t="s">
        <v>15</v>
      </c>
      <c r="H25" t="s">
        <v>16</v>
      </c>
      <c r="I25">
        <f>'1.Лок.смета.и.Акт'!E47</f>
        <v>0.08</v>
      </c>
      <c r="J25">
        <v>0</v>
      </c>
      <c r="O25">
        <f t="shared" si="14"/>
        <v>46.83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46.83</v>
      </c>
      <c r="T25">
        <f t="shared" si="19"/>
        <v>0</v>
      </c>
      <c r="U25">
        <f t="shared" si="20"/>
        <v>0.43920000000000003</v>
      </c>
      <c r="V25">
        <f t="shared" si="21"/>
        <v>0</v>
      </c>
      <c r="W25">
        <f t="shared" si="22"/>
        <v>0</v>
      </c>
      <c r="X25">
        <f t="shared" si="23"/>
        <v>36.53</v>
      </c>
      <c r="Y25">
        <f t="shared" si="24"/>
        <v>23.42</v>
      </c>
      <c r="AA25">
        <v>34748540</v>
      </c>
      <c r="AB25">
        <f t="shared" si="25"/>
        <v>46.83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 t="shared" si="29"/>
        <v>46.83</v>
      </c>
      <c r="AG25">
        <f t="shared" si="30"/>
        <v>0</v>
      </c>
      <c r="AH25">
        <f t="shared" si="31"/>
        <v>5.49</v>
      </c>
      <c r="AI25">
        <f t="shared" si="32"/>
        <v>0</v>
      </c>
      <c r="AJ25">
        <f t="shared" si="33"/>
        <v>0</v>
      </c>
      <c r="AK25">
        <f>AL25+AM25+AO25</f>
        <v>46.83</v>
      </c>
      <c r="AL25">
        <v>0</v>
      </c>
      <c r="AM25">
        <v>0</v>
      </c>
      <c r="AN25">
        <v>0</v>
      </c>
      <c r="AO25" s="106">
        <f>'1.Лок.смета.и.Акт'!F48</f>
        <v>46.83</v>
      </c>
      <c r="AP25">
        <v>0</v>
      </c>
      <c r="AQ25">
        <f>'1.Лок.смета.и.Акт'!E51</f>
        <v>5.49</v>
      </c>
      <c r="AR25">
        <v>0</v>
      </c>
      <c r="AS25">
        <v>0</v>
      </c>
      <c r="AT25">
        <v>78</v>
      </c>
      <c r="AU25">
        <v>50</v>
      </c>
      <c r="AV25">
        <v>1</v>
      </c>
      <c r="AW25">
        <v>1</v>
      </c>
      <c r="AZ25">
        <v>12.5</v>
      </c>
      <c r="BA25">
        <f>'1.Лок.смета.и.Акт'!J48</f>
        <v>12.5</v>
      </c>
      <c r="BB25">
        <v>12.5</v>
      </c>
      <c r="BC25">
        <v>12.5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17</v>
      </c>
      <c r="BM25">
        <v>69001</v>
      </c>
      <c r="BN25">
        <v>0</v>
      </c>
      <c r="BO25" t="s">
        <v>3</v>
      </c>
      <c r="BP25">
        <v>0</v>
      </c>
      <c r="BQ25">
        <v>6</v>
      </c>
      <c r="BR25">
        <v>0</v>
      </c>
      <c r="BS25">
        <v>12.5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78</v>
      </c>
      <c r="CA25">
        <v>50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46.83</v>
      </c>
      <c r="CQ25">
        <f t="shared" si="35"/>
        <v>0</v>
      </c>
      <c r="CR25">
        <f t="shared" si="36"/>
        <v>0</v>
      </c>
      <c r="CS25">
        <f t="shared" si="37"/>
        <v>0</v>
      </c>
      <c r="CT25">
        <f t="shared" si="38"/>
        <v>585.375</v>
      </c>
      <c r="CU25">
        <f t="shared" si="39"/>
        <v>0</v>
      </c>
      <c r="CV25">
        <f t="shared" si="40"/>
        <v>5.49</v>
      </c>
      <c r="CW25">
        <f t="shared" si="41"/>
        <v>0</v>
      </c>
      <c r="CX25">
        <f t="shared" si="42"/>
        <v>0</v>
      </c>
      <c r="CY25">
        <f t="shared" si="43"/>
        <v>36.5274</v>
      </c>
      <c r="CZ25">
        <f t="shared" si="44"/>
        <v>23.414999999999999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16</v>
      </c>
      <c r="DW25" t="str">
        <f>'1.Лок.смета.и.Акт'!D47</f>
        <v>100 ШТ</v>
      </c>
      <c r="DX25">
        <v>1</v>
      </c>
      <c r="EE25">
        <v>32653485</v>
      </c>
      <c r="EF25">
        <v>6</v>
      </c>
      <c r="EG25" t="s">
        <v>18</v>
      </c>
      <c r="EH25">
        <v>0</v>
      </c>
      <c r="EI25" t="s">
        <v>3</v>
      </c>
      <c r="EJ25">
        <v>1</v>
      </c>
      <c r="EK25">
        <v>69001</v>
      </c>
      <c r="EL25" t="s">
        <v>19</v>
      </c>
      <c r="EM25" t="s">
        <v>20</v>
      </c>
      <c r="EO25" t="s">
        <v>3</v>
      </c>
      <c r="EQ25">
        <v>0</v>
      </c>
      <c r="ER25">
        <f>ES25+ET25+EV25</f>
        <v>46.83</v>
      </c>
      <c r="ES25">
        <v>0</v>
      </c>
      <c r="ET25">
        <v>0</v>
      </c>
      <c r="EU25">
        <v>0</v>
      </c>
      <c r="EV25" s="106">
        <f>'1.Лок.смета.и.Акт'!F48</f>
        <v>46.83</v>
      </c>
      <c r="EW25">
        <f>'1.Лок.смета.и.Акт'!E51</f>
        <v>5.49</v>
      </c>
      <c r="EX25">
        <v>0</v>
      </c>
      <c r="EY25">
        <v>0</v>
      </c>
      <c r="FQ25">
        <v>0</v>
      </c>
      <c r="FR25">
        <f t="shared" si="45"/>
        <v>0</v>
      </c>
      <c r="FS25">
        <v>0</v>
      </c>
      <c r="FX25">
        <v>78</v>
      </c>
      <c r="FY25">
        <v>50</v>
      </c>
      <c r="GA25" t="s">
        <v>3</v>
      </c>
      <c r="GD25">
        <v>1</v>
      </c>
      <c r="GF25">
        <v>-1700458268</v>
      </c>
      <c r="GG25">
        <v>1</v>
      </c>
      <c r="GH25">
        <v>1</v>
      </c>
      <c r="GI25">
        <v>4</v>
      </c>
      <c r="GJ25">
        <v>0</v>
      </c>
      <c r="GK25">
        <v>0</v>
      </c>
      <c r="GL25">
        <f t="shared" si="46"/>
        <v>0</v>
      </c>
      <c r="GM25">
        <f t="shared" si="47"/>
        <v>106.78</v>
      </c>
      <c r="GN25">
        <f t="shared" si="48"/>
        <v>106.78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</v>
      </c>
      <c r="GX25">
        <f t="shared" si="52"/>
        <v>0</v>
      </c>
      <c r="HA25">
        <v>0</v>
      </c>
      <c r="HB25">
        <v>0</v>
      </c>
      <c r="HC25">
        <f t="shared" si="53"/>
        <v>0</v>
      </c>
      <c r="IF25">
        <v>-1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ROW(SmtRes!A11)</f>
        <v>11</v>
      </c>
      <c r="D26" s="2">
        <f>ROW(EtalonRes!A13)</f>
        <v>13</v>
      </c>
      <c r="E26" s="2" t="s">
        <v>21</v>
      </c>
      <c r="F26" s="2" t="s">
        <v>22</v>
      </c>
      <c r="G26" s="2" t="s">
        <v>23</v>
      </c>
      <c r="H26" s="2" t="s">
        <v>24</v>
      </c>
      <c r="I26" s="2">
        <f>'1.Лок.смета.и.Акт'!E53</f>
        <v>1</v>
      </c>
      <c r="J26" s="2">
        <v>0</v>
      </c>
      <c r="K26" s="2"/>
      <c r="L26" s="2"/>
      <c r="M26" s="2"/>
      <c r="N26" s="2"/>
      <c r="O26" s="2">
        <f t="shared" si="14"/>
        <v>2048.42</v>
      </c>
      <c r="P26" s="2">
        <f t="shared" si="15"/>
        <v>192.31</v>
      </c>
      <c r="Q26" s="2">
        <f t="shared" si="16"/>
        <v>1730.05</v>
      </c>
      <c r="R26" s="2">
        <f t="shared" si="17"/>
        <v>85.46</v>
      </c>
      <c r="S26" s="2">
        <f t="shared" si="18"/>
        <v>126.06</v>
      </c>
      <c r="T26" s="2">
        <f t="shared" si="19"/>
        <v>0</v>
      </c>
      <c r="U26" s="2">
        <f t="shared" si="20"/>
        <v>12.18</v>
      </c>
      <c r="V26" s="2">
        <f t="shared" si="21"/>
        <v>6.33</v>
      </c>
      <c r="W26" s="2">
        <f t="shared" si="22"/>
        <v>0</v>
      </c>
      <c r="X26" s="2">
        <f t="shared" si="23"/>
        <v>211.52</v>
      </c>
      <c r="Y26" s="2">
        <f t="shared" si="24"/>
        <v>137.49</v>
      </c>
      <c r="Z26" s="2"/>
      <c r="AA26" s="2">
        <v>34748518</v>
      </c>
      <c r="AB26" s="2">
        <f t="shared" si="25"/>
        <v>2048.42</v>
      </c>
      <c r="AC26" s="2">
        <f t="shared" si="26"/>
        <v>192.31</v>
      </c>
      <c r="AD26" s="2">
        <f t="shared" si="27"/>
        <v>1730.05</v>
      </c>
      <c r="AE26" s="2">
        <f t="shared" si="28"/>
        <v>85.46</v>
      </c>
      <c r="AF26" s="2">
        <f t="shared" si="29"/>
        <v>126.06</v>
      </c>
      <c r="AG26" s="2">
        <f t="shared" si="30"/>
        <v>0</v>
      </c>
      <c r="AH26" s="2">
        <f t="shared" si="31"/>
        <v>12.18</v>
      </c>
      <c r="AI26" s="2">
        <f t="shared" si="32"/>
        <v>6.33</v>
      </c>
      <c r="AJ26" s="2">
        <f t="shared" si="33"/>
        <v>0</v>
      </c>
      <c r="AK26" s="2">
        <v>2048.42</v>
      </c>
      <c r="AL26" s="2">
        <v>192.31</v>
      </c>
      <c r="AM26" s="2">
        <v>1730.05</v>
      </c>
      <c r="AN26" s="2">
        <v>85.46</v>
      </c>
      <c r="AO26" s="2">
        <v>126.06</v>
      </c>
      <c r="AP26" s="2">
        <v>0</v>
      </c>
      <c r="AQ26" s="2">
        <v>12.18</v>
      </c>
      <c r="AR26" s="2">
        <v>6.33</v>
      </c>
      <c r="AS26" s="2">
        <v>0</v>
      </c>
      <c r="AT26" s="2">
        <v>100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34001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100</v>
      </c>
      <c r="CA26" s="2">
        <v>65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2048.42</v>
      </c>
      <c r="CQ26" s="2">
        <f t="shared" si="35"/>
        <v>192.31</v>
      </c>
      <c r="CR26" s="2">
        <f t="shared" si="36"/>
        <v>1730.05</v>
      </c>
      <c r="CS26" s="2">
        <f t="shared" si="37"/>
        <v>85.46</v>
      </c>
      <c r="CT26" s="2">
        <f t="shared" si="38"/>
        <v>126.06</v>
      </c>
      <c r="CU26" s="2">
        <f t="shared" si="39"/>
        <v>0</v>
      </c>
      <c r="CV26" s="2">
        <f t="shared" si="40"/>
        <v>12.18</v>
      </c>
      <c r="CW26" s="2">
        <f t="shared" si="41"/>
        <v>6.33</v>
      </c>
      <c r="CX26" s="2">
        <f t="shared" si="42"/>
        <v>0</v>
      </c>
      <c r="CY26" s="2">
        <f t="shared" si="43"/>
        <v>211.52</v>
      </c>
      <c r="CZ26" s="2">
        <f t="shared" si="44"/>
        <v>137.488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24</v>
      </c>
      <c r="DW26" s="2" t="s">
        <v>24</v>
      </c>
      <c r="DX26" s="2">
        <v>1</v>
      </c>
      <c r="DY26" s="2"/>
      <c r="DZ26" s="2"/>
      <c r="EA26" s="2"/>
      <c r="EB26" s="2"/>
      <c r="EC26" s="2"/>
      <c r="ED26" s="2"/>
      <c r="EE26" s="2">
        <v>32653414</v>
      </c>
      <c r="EF26" s="2">
        <v>1</v>
      </c>
      <c r="EG26" s="2" t="s">
        <v>26</v>
      </c>
      <c r="EH26" s="2">
        <v>0</v>
      </c>
      <c r="EI26" s="2" t="s">
        <v>3</v>
      </c>
      <c r="EJ26" s="2">
        <v>1</v>
      </c>
      <c r="EK26" s="2">
        <v>34001</v>
      </c>
      <c r="EL26" s="2" t="s">
        <v>27</v>
      </c>
      <c r="EM26" s="2" t="s">
        <v>28</v>
      </c>
      <c r="EN26" s="2"/>
      <c r="EO26" s="2" t="s">
        <v>3</v>
      </c>
      <c r="EP26" s="2"/>
      <c r="EQ26" s="2">
        <v>0</v>
      </c>
      <c r="ER26" s="2">
        <v>2048.42</v>
      </c>
      <c r="ES26" s="2">
        <v>192.31</v>
      </c>
      <c r="ET26" s="2">
        <v>1730.05</v>
      </c>
      <c r="EU26" s="2">
        <v>85.46</v>
      </c>
      <c r="EV26" s="2">
        <v>126.06</v>
      </c>
      <c r="EW26" s="2">
        <v>12.18</v>
      </c>
      <c r="EX26" s="2">
        <v>6.33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100</v>
      </c>
      <c r="FY26" s="2">
        <v>65</v>
      </c>
      <c r="FZ26" s="2"/>
      <c r="GA26" s="2" t="s">
        <v>3</v>
      </c>
      <c r="GB26" s="2"/>
      <c r="GC26" s="2"/>
      <c r="GD26" s="2">
        <v>1</v>
      </c>
      <c r="GE26" s="2"/>
      <c r="GF26" s="2">
        <v>-1453334414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6"/>
        <v>0</v>
      </c>
      <c r="GM26" s="2">
        <f t="shared" si="47"/>
        <v>2397.4299999999998</v>
      </c>
      <c r="GN26" s="2">
        <f t="shared" si="48"/>
        <v>2397.4299999999998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>
        <f t="shared" si="53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>
        <v>-1</v>
      </c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ROW(SmtRes!A20)</f>
        <v>20</v>
      </c>
      <c r="D27">
        <f>ROW(EtalonRes!A22)</f>
        <v>22</v>
      </c>
      <c r="E27" t="s">
        <v>21</v>
      </c>
      <c r="F27" t="s">
        <v>22</v>
      </c>
      <c r="G27" t="s">
        <v>23</v>
      </c>
      <c r="H27" t="s">
        <v>24</v>
      </c>
      <c r="I27">
        <f>'1.Лок.смета.и.Акт'!E53</f>
        <v>1</v>
      </c>
      <c r="J27">
        <v>0</v>
      </c>
      <c r="O27">
        <f t="shared" si="14"/>
        <v>25605.26</v>
      </c>
      <c r="P27">
        <f t="shared" si="15"/>
        <v>2403.88</v>
      </c>
      <c r="Q27">
        <f t="shared" si="16"/>
        <v>21625.63</v>
      </c>
      <c r="R27">
        <f t="shared" si="17"/>
        <v>1068.25</v>
      </c>
      <c r="S27">
        <f t="shared" si="18"/>
        <v>1575.75</v>
      </c>
      <c r="T27">
        <f t="shared" si="19"/>
        <v>0</v>
      </c>
      <c r="U27">
        <f t="shared" si="20"/>
        <v>12.18</v>
      </c>
      <c r="V27">
        <f t="shared" si="21"/>
        <v>6.33</v>
      </c>
      <c r="W27">
        <f t="shared" si="22"/>
        <v>0</v>
      </c>
      <c r="X27">
        <f t="shared" si="23"/>
        <v>2644</v>
      </c>
      <c r="Y27">
        <f t="shared" si="24"/>
        <v>1718.6</v>
      </c>
      <c r="AA27">
        <v>34748540</v>
      </c>
      <c r="AB27">
        <f t="shared" si="25"/>
        <v>2048.42</v>
      </c>
      <c r="AC27">
        <f t="shared" si="26"/>
        <v>192.31</v>
      </c>
      <c r="AD27">
        <f t="shared" si="27"/>
        <v>1730.05</v>
      </c>
      <c r="AE27">
        <f t="shared" si="28"/>
        <v>85.46</v>
      </c>
      <c r="AF27">
        <f t="shared" si="29"/>
        <v>126.06</v>
      </c>
      <c r="AG27">
        <f t="shared" si="30"/>
        <v>0</v>
      </c>
      <c r="AH27">
        <f t="shared" si="31"/>
        <v>12.18</v>
      </c>
      <c r="AI27">
        <f t="shared" si="32"/>
        <v>6.33</v>
      </c>
      <c r="AJ27">
        <f t="shared" si="33"/>
        <v>0</v>
      </c>
      <c r="AK27">
        <f>AL27+AM27+AO27</f>
        <v>2048.42</v>
      </c>
      <c r="AL27" s="106">
        <f>'1.Лок.смета.и.Акт'!F57</f>
        <v>192.31</v>
      </c>
      <c r="AM27" s="106">
        <f>'1.Лок.смета.и.Акт'!F55</f>
        <v>1730.05</v>
      </c>
      <c r="AN27" s="106">
        <f>'1.Лок.смета.и.Акт'!F56</f>
        <v>85.46</v>
      </c>
      <c r="AO27" s="106">
        <f>'1.Лок.смета.и.Акт'!F54</f>
        <v>126.06</v>
      </c>
      <c r="AP27">
        <v>0</v>
      </c>
      <c r="AQ27">
        <f>'1.Лок.смета.и.Акт'!E60</f>
        <v>12.18</v>
      </c>
      <c r="AR27">
        <v>6.33</v>
      </c>
      <c r="AS27">
        <v>0</v>
      </c>
      <c r="AT27">
        <v>100</v>
      </c>
      <c r="AU27">
        <v>65</v>
      </c>
      <c r="AV27">
        <v>1</v>
      </c>
      <c r="AW27">
        <v>1</v>
      </c>
      <c r="AZ27">
        <v>12.5</v>
      </c>
      <c r="BA27">
        <f>'1.Лок.смета.и.Акт'!J54</f>
        <v>12.5</v>
      </c>
      <c r="BB27">
        <f>'1.Лок.смета.и.Акт'!J55</f>
        <v>12.5</v>
      </c>
      <c r="BC27">
        <f>'1.Лок.смета.и.Акт'!J57</f>
        <v>12.5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34001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'1.Лок.смета.и.Акт'!J56</f>
        <v>12.5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100</v>
      </c>
      <c r="CA27">
        <v>65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25605.260000000002</v>
      </c>
      <c r="CQ27">
        <f t="shared" si="35"/>
        <v>2403.875</v>
      </c>
      <c r="CR27">
        <f t="shared" si="36"/>
        <v>21625.625</v>
      </c>
      <c r="CS27">
        <f t="shared" si="37"/>
        <v>1068.25</v>
      </c>
      <c r="CT27">
        <f t="shared" si="38"/>
        <v>1575.75</v>
      </c>
      <c r="CU27">
        <f t="shared" si="39"/>
        <v>0</v>
      </c>
      <c r="CV27">
        <f t="shared" si="40"/>
        <v>12.18</v>
      </c>
      <c r="CW27">
        <f t="shared" si="41"/>
        <v>6.33</v>
      </c>
      <c r="CX27">
        <f t="shared" si="42"/>
        <v>0</v>
      </c>
      <c r="CY27">
        <f t="shared" si="43"/>
        <v>2644</v>
      </c>
      <c r="CZ27">
        <f t="shared" si="44"/>
        <v>1718.6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24</v>
      </c>
      <c r="DW27" t="str">
        <f>'1.Лок.смета.и.Акт'!D53</f>
        <v>шт..</v>
      </c>
      <c r="DX27">
        <v>1</v>
      </c>
      <c r="EE27">
        <v>32653414</v>
      </c>
      <c r="EF27">
        <v>1</v>
      </c>
      <c r="EG27" t="s">
        <v>26</v>
      </c>
      <c r="EH27">
        <v>0</v>
      </c>
      <c r="EI27" t="s">
        <v>3</v>
      </c>
      <c r="EJ27">
        <v>1</v>
      </c>
      <c r="EK27">
        <v>34001</v>
      </c>
      <c r="EL27" t="s">
        <v>27</v>
      </c>
      <c r="EM27" t="s">
        <v>28</v>
      </c>
      <c r="EO27" t="s">
        <v>3</v>
      </c>
      <c r="EQ27">
        <v>0</v>
      </c>
      <c r="ER27">
        <f>ES27+ET27+EV27</f>
        <v>2048.42</v>
      </c>
      <c r="ES27" s="106">
        <f>'1.Лок.смета.и.Акт'!F57</f>
        <v>192.31</v>
      </c>
      <c r="ET27" s="106">
        <f>'1.Лок.смета.и.Акт'!F55</f>
        <v>1730.05</v>
      </c>
      <c r="EU27" s="106">
        <f>'1.Лок.смета.и.Акт'!F56</f>
        <v>85.46</v>
      </c>
      <c r="EV27" s="106">
        <f>'1.Лок.смета.и.Акт'!F54</f>
        <v>126.06</v>
      </c>
      <c r="EW27">
        <f>'1.Лок.смета.и.Акт'!E60</f>
        <v>12.18</v>
      </c>
      <c r="EX27">
        <v>6.33</v>
      </c>
      <c r="EY27">
        <v>0</v>
      </c>
      <c r="FQ27">
        <v>0</v>
      </c>
      <c r="FR27">
        <f t="shared" si="45"/>
        <v>0</v>
      </c>
      <c r="FS27">
        <v>0</v>
      </c>
      <c r="FX27">
        <v>100</v>
      </c>
      <c r="FY27">
        <v>65</v>
      </c>
      <c r="GA27" t="s">
        <v>3</v>
      </c>
      <c r="GD27">
        <v>1</v>
      </c>
      <c r="GF27">
        <v>-1453334414</v>
      </c>
      <c r="GG27">
        <v>1</v>
      </c>
      <c r="GH27">
        <v>1</v>
      </c>
      <c r="GI27">
        <v>4</v>
      </c>
      <c r="GJ27">
        <v>0</v>
      </c>
      <c r="GK27">
        <v>0</v>
      </c>
      <c r="GL27">
        <f t="shared" si="46"/>
        <v>0</v>
      </c>
      <c r="GM27">
        <f t="shared" si="47"/>
        <v>29967.86</v>
      </c>
      <c r="GN27">
        <f t="shared" si="48"/>
        <v>29967.86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</v>
      </c>
      <c r="GX27">
        <f t="shared" si="52"/>
        <v>0</v>
      </c>
      <c r="HA27">
        <v>0</v>
      </c>
      <c r="HB27">
        <v>0</v>
      </c>
      <c r="HC27">
        <f t="shared" si="53"/>
        <v>0</v>
      </c>
      <c r="IF27">
        <v>-1</v>
      </c>
      <c r="IK27">
        <v>0</v>
      </c>
    </row>
    <row r="28" spans="1:255" x14ac:dyDescent="0.2">
      <c r="A28" s="2">
        <v>17</v>
      </c>
      <c r="B28" s="2">
        <v>1</v>
      </c>
      <c r="C28" s="2">
        <f>ROW(SmtRes!A34)</f>
        <v>34</v>
      </c>
      <c r="D28" s="2">
        <f>ROW(EtalonRes!A36)</f>
        <v>36</v>
      </c>
      <c r="E28" s="2" t="s">
        <v>29</v>
      </c>
      <c r="F28" s="2" t="s">
        <v>30</v>
      </c>
      <c r="G28" s="2" t="s">
        <v>31</v>
      </c>
      <c r="H28" s="2" t="s">
        <v>32</v>
      </c>
      <c r="I28" s="2">
        <f>'1.Лок.смета.и.Акт'!E62</f>
        <v>1</v>
      </c>
      <c r="J28" s="2">
        <v>0</v>
      </c>
      <c r="K28" s="2"/>
      <c r="L28" s="2"/>
      <c r="M28" s="2"/>
      <c r="N28" s="2"/>
      <c r="O28" s="2">
        <f t="shared" si="14"/>
        <v>35.979999999999997</v>
      </c>
      <c r="P28" s="2">
        <f t="shared" si="15"/>
        <v>20.09</v>
      </c>
      <c r="Q28" s="2">
        <f t="shared" si="16"/>
        <v>1.05</v>
      </c>
      <c r="R28" s="2">
        <f t="shared" si="17"/>
        <v>0</v>
      </c>
      <c r="S28" s="2">
        <f t="shared" si="18"/>
        <v>14.84</v>
      </c>
      <c r="T28" s="2">
        <f t="shared" si="19"/>
        <v>0</v>
      </c>
      <c r="U28" s="2">
        <f t="shared" si="20"/>
        <v>1.56</v>
      </c>
      <c r="V28" s="2">
        <f t="shared" si="21"/>
        <v>0</v>
      </c>
      <c r="W28" s="2">
        <f t="shared" si="22"/>
        <v>0</v>
      </c>
      <c r="X28" s="2">
        <f t="shared" si="23"/>
        <v>14.1</v>
      </c>
      <c r="Y28" s="2">
        <f t="shared" si="24"/>
        <v>9.65</v>
      </c>
      <c r="Z28" s="2"/>
      <c r="AA28" s="2">
        <v>34748518</v>
      </c>
      <c r="AB28" s="2">
        <f t="shared" si="25"/>
        <v>35.979999999999997</v>
      </c>
      <c r="AC28" s="2">
        <f t="shared" si="26"/>
        <v>20.09</v>
      </c>
      <c r="AD28" s="2">
        <f t="shared" si="27"/>
        <v>1.05</v>
      </c>
      <c r="AE28" s="2">
        <f t="shared" si="28"/>
        <v>0</v>
      </c>
      <c r="AF28" s="2">
        <f t="shared" si="29"/>
        <v>14.84</v>
      </c>
      <c r="AG28" s="2">
        <f t="shared" si="30"/>
        <v>0</v>
      </c>
      <c r="AH28" s="2">
        <f t="shared" si="31"/>
        <v>1.56</v>
      </c>
      <c r="AI28" s="2">
        <f t="shared" si="32"/>
        <v>0</v>
      </c>
      <c r="AJ28" s="2">
        <f t="shared" si="33"/>
        <v>0</v>
      </c>
      <c r="AK28" s="2">
        <v>35.979999999999997</v>
      </c>
      <c r="AL28" s="2">
        <v>20.09</v>
      </c>
      <c r="AM28" s="2">
        <v>1.05</v>
      </c>
      <c r="AN28" s="2">
        <v>0</v>
      </c>
      <c r="AO28" s="2">
        <v>14.84</v>
      </c>
      <c r="AP28" s="2">
        <v>0</v>
      </c>
      <c r="AQ28" s="2">
        <v>1.56</v>
      </c>
      <c r="AR28" s="2">
        <v>0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33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35.980000000000004</v>
      </c>
      <c r="CQ28" s="2">
        <f t="shared" si="35"/>
        <v>20.09</v>
      </c>
      <c r="CR28" s="2">
        <f t="shared" si="36"/>
        <v>1.05</v>
      </c>
      <c r="CS28" s="2">
        <f t="shared" si="37"/>
        <v>0</v>
      </c>
      <c r="CT28" s="2">
        <f t="shared" si="38"/>
        <v>14.84</v>
      </c>
      <c r="CU28" s="2">
        <f t="shared" si="39"/>
        <v>0</v>
      </c>
      <c r="CV28" s="2">
        <f t="shared" si="40"/>
        <v>1.56</v>
      </c>
      <c r="CW28" s="2">
        <f t="shared" si="41"/>
        <v>0</v>
      </c>
      <c r="CX28" s="2">
        <f t="shared" si="42"/>
        <v>0</v>
      </c>
      <c r="CY28" s="2">
        <f t="shared" si="43"/>
        <v>14.097999999999999</v>
      </c>
      <c r="CZ28" s="2">
        <f t="shared" si="44"/>
        <v>9.6460000000000008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32</v>
      </c>
      <c r="DW28" s="2" t="s">
        <v>32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34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35</v>
      </c>
      <c r="EM28" s="2" t="s">
        <v>36</v>
      </c>
      <c r="EN28" s="2"/>
      <c r="EO28" s="2" t="s">
        <v>3</v>
      </c>
      <c r="EP28" s="2"/>
      <c r="EQ28" s="2">
        <v>0</v>
      </c>
      <c r="ER28" s="2">
        <v>35.979999999999997</v>
      </c>
      <c r="ES28" s="2">
        <v>20.09</v>
      </c>
      <c r="ET28" s="2">
        <v>1.05</v>
      </c>
      <c r="EU28" s="2">
        <v>0</v>
      </c>
      <c r="EV28" s="2">
        <v>14.84</v>
      </c>
      <c r="EW28" s="2">
        <v>1.56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1</v>
      </c>
      <c r="GE28" s="2"/>
      <c r="GF28" s="2">
        <v>51607029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6"/>
        <v>0</v>
      </c>
      <c r="GM28" s="2">
        <f t="shared" si="47"/>
        <v>59.73</v>
      </c>
      <c r="GN28" s="2">
        <f t="shared" si="48"/>
        <v>0</v>
      </c>
      <c r="GO28" s="2">
        <f t="shared" si="49"/>
        <v>59.73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>
        <f t="shared" si="53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>
        <v>-1</v>
      </c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ROW(SmtRes!A48)</f>
        <v>48</v>
      </c>
      <c r="D29">
        <f>ROW(EtalonRes!A50)</f>
        <v>50</v>
      </c>
      <c r="E29" t="s">
        <v>29</v>
      </c>
      <c r="F29" t="s">
        <v>30</v>
      </c>
      <c r="G29" t="s">
        <v>31</v>
      </c>
      <c r="H29" t="s">
        <v>32</v>
      </c>
      <c r="I29">
        <f>'1.Лок.смета.и.Акт'!E62</f>
        <v>1</v>
      </c>
      <c r="J29">
        <v>0</v>
      </c>
      <c r="O29">
        <f t="shared" si="14"/>
        <v>449.76</v>
      </c>
      <c r="P29">
        <f t="shared" si="15"/>
        <v>251.13</v>
      </c>
      <c r="Q29">
        <f t="shared" si="16"/>
        <v>13.13</v>
      </c>
      <c r="R29">
        <f t="shared" si="17"/>
        <v>0</v>
      </c>
      <c r="S29">
        <f t="shared" si="18"/>
        <v>185.5</v>
      </c>
      <c r="T29">
        <f t="shared" si="19"/>
        <v>0</v>
      </c>
      <c r="U29">
        <f t="shared" si="20"/>
        <v>1.56</v>
      </c>
      <c r="V29">
        <f t="shared" si="21"/>
        <v>0</v>
      </c>
      <c r="W29">
        <f t="shared" si="22"/>
        <v>0</v>
      </c>
      <c r="X29">
        <f t="shared" si="23"/>
        <v>176.23</v>
      </c>
      <c r="Y29">
        <f t="shared" si="24"/>
        <v>120.58</v>
      </c>
      <c r="AA29">
        <v>34748540</v>
      </c>
      <c r="AB29">
        <f t="shared" si="25"/>
        <v>35.979999999999997</v>
      </c>
      <c r="AC29">
        <f t="shared" si="26"/>
        <v>20.09</v>
      </c>
      <c r="AD29">
        <f t="shared" si="27"/>
        <v>1.05</v>
      </c>
      <c r="AE29">
        <f t="shared" si="28"/>
        <v>0</v>
      </c>
      <c r="AF29">
        <f t="shared" si="29"/>
        <v>14.84</v>
      </c>
      <c r="AG29">
        <f t="shared" si="30"/>
        <v>0</v>
      </c>
      <c r="AH29">
        <f t="shared" si="31"/>
        <v>1.56</v>
      </c>
      <c r="AI29">
        <f t="shared" si="32"/>
        <v>0</v>
      </c>
      <c r="AJ29">
        <f t="shared" si="33"/>
        <v>0</v>
      </c>
      <c r="AK29">
        <f>AL29+AM29+AO29</f>
        <v>35.980000000000004</v>
      </c>
      <c r="AL29" s="106">
        <f>'1.Лок.смета.и.Акт'!F65</f>
        <v>20.09</v>
      </c>
      <c r="AM29" s="106">
        <f>'1.Лок.смета.и.Акт'!F64</f>
        <v>1.05</v>
      </c>
      <c r="AN29">
        <v>0</v>
      </c>
      <c r="AO29" s="106">
        <f>'1.Лок.смета.и.Акт'!F63</f>
        <v>14.84</v>
      </c>
      <c r="AP29">
        <v>0</v>
      </c>
      <c r="AQ29">
        <f>'1.Лок.смета.и.Акт'!E68</f>
        <v>1.56</v>
      </c>
      <c r="AR29">
        <v>0</v>
      </c>
      <c r="AS29">
        <v>0</v>
      </c>
      <c r="AT29">
        <v>95</v>
      </c>
      <c r="AU29">
        <v>65</v>
      </c>
      <c r="AV29">
        <v>1</v>
      </c>
      <c r="AW29">
        <v>1</v>
      </c>
      <c r="AZ29">
        <v>12.5</v>
      </c>
      <c r="BA29">
        <f>'1.Лок.смета.и.Акт'!J63</f>
        <v>12.5</v>
      </c>
      <c r="BB29">
        <f>'1.Лок.смета.и.Акт'!J64</f>
        <v>12.5</v>
      </c>
      <c r="BC29">
        <f>'1.Лок.смета.и.Акт'!J65</f>
        <v>12.5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33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v>12.5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449.76</v>
      </c>
      <c r="CQ29">
        <f t="shared" si="35"/>
        <v>251.125</v>
      </c>
      <c r="CR29">
        <f t="shared" si="36"/>
        <v>13.125</v>
      </c>
      <c r="CS29">
        <f t="shared" si="37"/>
        <v>0</v>
      </c>
      <c r="CT29">
        <f t="shared" si="38"/>
        <v>185.5</v>
      </c>
      <c r="CU29">
        <f t="shared" si="39"/>
        <v>0</v>
      </c>
      <c r="CV29">
        <f t="shared" si="40"/>
        <v>1.56</v>
      </c>
      <c r="CW29">
        <f t="shared" si="41"/>
        <v>0</v>
      </c>
      <c r="CX29">
        <f t="shared" si="42"/>
        <v>0</v>
      </c>
      <c r="CY29">
        <f t="shared" si="43"/>
        <v>176.22499999999999</v>
      </c>
      <c r="CZ29">
        <f t="shared" si="44"/>
        <v>120.575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32</v>
      </c>
      <c r="DW29" t="str">
        <f>'1.Лок.смета.и.Акт'!D62</f>
        <v>ШТ</v>
      </c>
      <c r="DX29">
        <v>1</v>
      </c>
      <c r="EE29">
        <v>32653241</v>
      </c>
      <c r="EF29">
        <v>2</v>
      </c>
      <c r="EG29" t="s">
        <v>34</v>
      </c>
      <c r="EH29">
        <v>0</v>
      </c>
      <c r="EI29" t="s">
        <v>3</v>
      </c>
      <c r="EJ29">
        <v>2</v>
      </c>
      <c r="EK29">
        <v>108001</v>
      </c>
      <c r="EL29" t="s">
        <v>35</v>
      </c>
      <c r="EM29" t="s">
        <v>36</v>
      </c>
      <c r="EO29" t="s">
        <v>3</v>
      </c>
      <c r="EQ29">
        <v>0</v>
      </c>
      <c r="ER29">
        <f>ES29+ET29+EV29</f>
        <v>35.980000000000004</v>
      </c>
      <c r="ES29" s="106">
        <f>'1.Лок.смета.и.Акт'!F65</f>
        <v>20.09</v>
      </c>
      <c r="ET29" s="106">
        <f>'1.Лок.смета.и.Акт'!F64</f>
        <v>1.05</v>
      </c>
      <c r="EU29">
        <v>0</v>
      </c>
      <c r="EV29" s="106">
        <f>'1.Лок.смета.и.Акт'!F63</f>
        <v>14.84</v>
      </c>
      <c r="EW29">
        <f>'1.Лок.смета.и.Акт'!E68</f>
        <v>1.56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X29">
        <v>95</v>
      </c>
      <c r="FY29">
        <v>65</v>
      </c>
      <c r="GA29" t="s">
        <v>3</v>
      </c>
      <c r="GD29">
        <v>1</v>
      </c>
      <c r="GF29">
        <v>51607029</v>
      </c>
      <c r="GG29">
        <v>1</v>
      </c>
      <c r="GH29">
        <v>1</v>
      </c>
      <c r="GI29">
        <v>4</v>
      </c>
      <c r="GJ29">
        <v>0</v>
      </c>
      <c r="GK29">
        <v>0</v>
      </c>
      <c r="GL29">
        <f t="shared" si="46"/>
        <v>0</v>
      </c>
      <c r="GM29">
        <f t="shared" si="47"/>
        <v>746.57</v>
      </c>
      <c r="GN29">
        <f t="shared" si="48"/>
        <v>0</v>
      </c>
      <c r="GO29">
        <f t="shared" si="49"/>
        <v>746.57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</v>
      </c>
      <c r="GX29">
        <f t="shared" si="52"/>
        <v>0</v>
      </c>
      <c r="HA29">
        <v>0</v>
      </c>
      <c r="HB29">
        <v>0</v>
      </c>
      <c r="HC29">
        <f t="shared" si="53"/>
        <v>0</v>
      </c>
      <c r="IF29">
        <v>-1</v>
      </c>
      <c r="IK29">
        <v>0</v>
      </c>
    </row>
    <row r="30" spans="1:255" x14ac:dyDescent="0.2">
      <c r="A30" s="2">
        <v>17</v>
      </c>
      <c r="B30" s="2">
        <v>1</v>
      </c>
      <c r="C30" s="2">
        <f>ROW(SmtRes!A57)</f>
        <v>57</v>
      </c>
      <c r="D30" s="2">
        <f>ROW(EtalonRes!A59)</f>
        <v>59</v>
      </c>
      <c r="E30" s="2" t="s">
        <v>37</v>
      </c>
      <c r="F30" s="2" t="s">
        <v>38</v>
      </c>
      <c r="G30" s="2" t="s">
        <v>39</v>
      </c>
      <c r="H30" s="2" t="s">
        <v>16</v>
      </c>
      <c r="I30" s="2">
        <f>'1.Лок.смета.и.Акт'!E70</f>
        <v>0.01</v>
      </c>
      <c r="J30" s="2">
        <v>0</v>
      </c>
      <c r="K30" s="2"/>
      <c r="L30" s="2"/>
      <c r="M30" s="2"/>
      <c r="N30" s="2"/>
      <c r="O30" s="2">
        <f t="shared" si="14"/>
        <v>4.54</v>
      </c>
      <c r="P30" s="2">
        <f t="shared" si="15"/>
        <v>1.06</v>
      </c>
      <c r="Q30" s="2">
        <f t="shared" si="16"/>
        <v>0.05</v>
      </c>
      <c r="R30" s="2">
        <f t="shared" si="17"/>
        <v>0.01</v>
      </c>
      <c r="S30" s="2">
        <f t="shared" si="18"/>
        <v>3.43</v>
      </c>
      <c r="T30" s="2">
        <f t="shared" si="19"/>
        <v>0</v>
      </c>
      <c r="U30" s="2">
        <f t="shared" si="20"/>
        <v>0.34560000000000002</v>
      </c>
      <c r="V30" s="2">
        <f t="shared" si="21"/>
        <v>5.0000000000000001E-4</v>
      </c>
      <c r="W30" s="2">
        <f t="shared" si="22"/>
        <v>0</v>
      </c>
      <c r="X30" s="2">
        <f t="shared" si="23"/>
        <v>3.27</v>
      </c>
      <c r="Y30" s="2">
        <f t="shared" si="24"/>
        <v>2.2400000000000002</v>
      </c>
      <c r="Z30" s="2"/>
      <c r="AA30" s="2">
        <v>34748518</v>
      </c>
      <c r="AB30" s="2">
        <f t="shared" si="25"/>
        <v>453.93</v>
      </c>
      <c r="AC30" s="2">
        <f t="shared" si="26"/>
        <v>106.42</v>
      </c>
      <c r="AD30" s="2">
        <f t="shared" si="27"/>
        <v>4.67</v>
      </c>
      <c r="AE30" s="2">
        <f t="shared" si="28"/>
        <v>0.64</v>
      </c>
      <c r="AF30" s="2">
        <f t="shared" si="29"/>
        <v>342.84</v>
      </c>
      <c r="AG30" s="2">
        <f t="shared" si="30"/>
        <v>0</v>
      </c>
      <c r="AH30" s="2">
        <f t="shared" si="31"/>
        <v>34.56</v>
      </c>
      <c r="AI30" s="2">
        <f t="shared" si="32"/>
        <v>0.05</v>
      </c>
      <c r="AJ30" s="2">
        <f t="shared" si="33"/>
        <v>0</v>
      </c>
      <c r="AK30" s="2">
        <v>453.93</v>
      </c>
      <c r="AL30" s="2">
        <v>106.42</v>
      </c>
      <c r="AM30" s="2">
        <v>4.67</v>
      </c>
      <c r="AN30" s="2">
        <v>0.64</v>
      </c>
      <c r="AO30" s="2">
        <v>342.84</v>
      </c>
      <c r="AP30" s="2">
        <v>0</v>
      </c>
      <c r="AQ30" s="2">
        <v>34.56</v>
      </c>
      <c r="AR30" s="2">
        <v>0.05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40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4.54</v>
      </c>
      <c r="CQ30" s="2">
        <f t="shared" si="35"/>
        <v>106.42</v>
      </c>
      <c r="CR30" s="2">
        <f t="shared" si="36"/>
        <v>4.67</v>
      </c>
      <c r="CS30" s="2">
        <f t="shared" si="37"/>
        <v>0.64</v>
      </c>
      <c r="CT30" s="2">
        <f t="shared" si="38"/>
        <v>342.84</v>
      </c>
      <c r="CU30" s="2">
        <f t="shared" si="39"/>
        <v>0</v>
      </c>
      <c r="CV30" s="2">
        <f t="shared" si="40"/>
        <v>34.56</v>
      </c>
      <c r="CW30" s="2">
        <f t="shared" si="41"/>
        <v>0.05</v>
      </c>
      <c r="CX30" s="2">
        <f t="shared" si="42"/>
        <v>0</v>
      </c>
      <c r="CY30" s="2">
        <f t="shared" si="43"/>
        <v>3.2680000000000002</v>
      </c>
      <c r="CZ30" s="2">
        <f t="shared" si="44"/>
        <v>2.2359999999999998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16</v>
      </c>
      <c r="DW30" s="2" t="s">
        <v>16</v>
      </c>
      <c r="DX30" s="2">
        <v>1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34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35</v>
      </c>
      <c r="EM30" s="2" t="s">
        <v>36</v>
      </c>
      <c r="EN30" s="2"/>
      <c r="EO30" s="2" t="s">
        <v>3</v>
      </c>
      <c r="EP30" s="2"/>
      <c r="EQ30" s="2">
        <v>0</v>
      </c>
      <c r="ER30" s="2">
        <v>453.93</v>
      </c>
      <c r="ES30" s="2">
        <v>106.42</v>
      </c>
      <c r="ET30" s="2">
        <v>4.67</v>
      </c>
      <c r="EU30" s="2">
        <v>0.64</v>
      </c>
      <c r="EV30" s="2">
        <v>342.84</v>
      </c>
      <c r="EW30" s="2">
        <v>34.56</v>
      </c>
      <c r="EX30" s="2">
        <v>0.05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1</v>
      </c>
      <c r="GE30" s="2"/>
      <c r="GF30" s="2">
        <v>519381605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6"/>
        <v>0</v>
      </c>
      <c r="GM30" s="2">
        <f t="shared" si="47"/>
        <v>10.050000000000001</v>
      </c>
      <c r="GN30" s="2">
        <f t="shared" si="48"/>
        <v>0</v>
      </c>
      <c r="GO30" s="2">
        <f t="shared" si="49"/>
        <v>10.050000000000001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>
        <f t="shared" si="53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>
        <v>-1</v>
      </c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ROW(SmtRes!A66)</f>
        <v>66</v>
      </c>
      <c r="D31">
        <f>ROW(EtalonRes!A68)</f>
        <v>68</v>
      </c>
      <c r="E31" t="s">
        <v>37</v>
      </c>
      <c r="F31" t="s">
        <v>38</v>
      </c>
      <c r="G31" t="s">
        <v>39</v>
      </c>
      <c r="H31" t="s">
        <v>16</v>
      </c>
      <c r="I31">
        <f>'1.Лок.смета.и.Акт'!E70</f>
        <v>0.01</v>
      </c>
      <c r="J31">
        <v>0</v>
      </c>
      <c r="O31">
        <f t="shared" si="14"/>
        <v>56.74</v>
      </c>
      <c r="P31">
        <f t="shared" si="15"/>
        <v>13.3</v>
      </c>
      <c r="Q31">
        <f t="shared" si="16"/>
        <v>0.57999999999999996</v>
      </c>
      <c r="R31">
        <f t="shared" si="17"/>
        <v>0.08</v>
      </c>
      <c r="S31">
        <f t="shared" si="18"/>
        <v>42.86</v>
      </c>
      <c r="T31">
        <f t="shared" si="19"/>
        <v>0</v>
      </c>
      <c r="U31">
        <f t="shared" si="20"/>
        <v>0.34560000000000002</v>
      </c>
      <c r="V31">
        <f t="shared" si="21"/>
        <v>5.0000000000000001E-4</v>
      </c>
      <c r="W31">
        <f t="shared" si="22"/>
        <v>0</v>
      </c>
      <c r="X31">
        <f t="shared" si="23"/>
        <v>40.79</v>
      </c>
      <c r="Y31">
        <f t="shared" si="24"/>
        <v>27.91</v>
      </c>
      <c r="AA31">
        <v>34748540</v>
      </c>
      <c r="AB31">
        <f t="shared" si="25"/>
        <v>453.93</v>
      </c>
      <c r="AC31">
        <f t="shared" si="26"/>
        <v>106.42</v>
      </c>
      <c r="AD31">
        <f t="shared" si="27"/>
        <v>4.67</v>
      </c>
      <c r="AE31">
        <f t="shared" si="28"/>
        <v>0.64</v>
      </c>
      <c r="AF31">
        <f t="shared" si="29"/>
        <v>342.84</v>
      </c>
      <c r="AG31">
        <f t="shared" si="30"/>
        <v>0</v>
      </c>
      <c r="AH31">
        <f t="shared" si="31"/>
        <v>34.56</v>
      </c>
      <c r="AI31">
        <f t="shared" si="32"/>
        <v>0.05</v>
      </c>
      <c r="AJ31">
        <f t="shared" si="33"/>
        <v>0</v>
      </c>
      <c r="AK31">
        <f>AL31+AM31+AO31</f>
        <v>453.92999999999995</v>
      </c>
      <c r="AL31" s="106">
        <f>'1.Лок.смета.и.Акт'!F74</f>
        <v>106.42</v>
      </c>
      <c r="AM31" s="106">
        <f>'1.Лок.смета.и.Акт'!F72</f>
        <v>4.67</v>
      </c>
      <c r="AN31" s="106">
        <f>'1.Лок.смета.и.Акт'!F73</f>
        <v>0.64</v>
      </c>
      <c r="AO31" s="106">
        <f>'1.Лок.смета.и.Акт'!F71</f>
        <v>342.84</v>
      </c>
      <c r="AP31">
        <v>0</v>
      </c>
      <c r="AQ31">
        <f>'1.Лок.смета.и.Акт'!E77</f>
        <v>34.56</v>
      </c>
      <c r="AR31">
        <v>0.05</v>
      </c>
      <c r="AS31">
        <v>0</v>
      </c>
      <c r="AT31">
        <v>95</v>
      </c>
      <c r="AU31">
        <v>65</v>
      </c>
      <c r="AV31">
        <v>1</v>
      </c>
      <c r="AW31">
        <v>1</v>
      </c>
      <c r="AZ31">
        <v>12.5</v>
      </c>
      <c r="BA31">
        <f>'1.Лок.смета.и.Акт'!J71</f>
        <v>12.5</v>
      </c>
      <c r="BB31">
        <f>'1.Лок.смета.и.Акт'!J72</f>
        <v>12.5</v>
      </c>
      <c r="BC31">
        <f>'1.Лок.смета.и.Акт'!J74</f>
        <v>12.5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40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'1.Лок.смета.и.Акт'!J73</f>
        <v>12.5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56.74</v>
      </c>
      <c r="CQ31">
        <f t="shared" si="35"/>
        <v>1330.25</v>
      </c>
      <c r="CR31">
        <f t="shared" si="36"/>
        <v>58.375</v>
      </c>
      <c r="CS31">
        <f t="shared" si="37"/>
        <v>8</v>
      </c>
      <c r="CT31">
        <f t="shared" si="38"/>
        <v>4285.5</v>
      </c>
      <c r="CU31">
        <f t="shared" si="39"/>
        <v>0</v>
      </c>
      <c r="CV31">
        <f t="shared" si="40"/>
        <v>34.56</v>
      </c>
      <c r="CW31">
        <f t="shared" si="41"/>
        <v>0.05</v>
      </c>
      <c r="CX31">
        <f t="shared" si="42"/>
        <v>0</v>
      </c>
      <c r="CY31">
        <f t="shared" si="43"/>
        <v>40.792999999999999</v>
      </c>
      <c r="CZ31">
        <f t="shared" si="44"/>
        <v>27.910999999999998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16</v>
      </c>
      <c r="DW31" t="str">
        <f>'1.Лок.смета.и.Акт'!D70</f>
        <v>100 ШТ</v>
      </c>
      <c r="DX31">
        <v>1</v>
      </c>
      <c r="EE31">
        <v>32653241</v>
      </c>
      <c r="EF31">
        <v>2</v>
      </c>
      <c r="EG31" t="s">
        <v>34</v>
      </c>
      <c r="EH31">
        <v>0</v>
      </c>
      <c r="EI31" t="s">
        <v>3</v>
      </c>
      <c r="EJ31">
        <v>2</v>
      </c>
      <c r="EK31">
        <v>108001</v>
      </c>
      <c r="EL31" t="s">
        <v>35</v>
      </c>
      <c r="EM31" t="s">
        <v>36</v>
      </c>
      <c r="EO31" t="s">
        <v>3</v>
      </c>
      <c r="EQ31">
        <v>0</v>
      </c>
      <c r="ER31">
        <f>ES31+ET31+EV31</f>
        <v>453.92999999999995</v>
      </c>
      <c r="ES31" s="106">
        <f>'1.Лок.смета.и.Акт'!F74</f>
        <v>106.42</v>
      </c>
      <c r="ET31" s="106">
        <f>'1.Лок.смета.и.Акт'!F72</f>
        <v>4.67</v>
      </c>
      <c r="EU31" s="106">
        <f>'1.Лок.смета.и.Акт'!F73</f>
        <v>0.64</v>
      </c>
      <c r="EV31" s="106">
        <f>'1.Лок.смета.и.Акт'!F71</f>
        <v>342.84</v>
      </c>
      <c r="EW31">
        <f>'1.Лок.смета.и.Акт'!E77</f>
        <v>34.56</v>
      </c>
      <c r="EX31">
        <v>0.05</v>
      </c>
      <c r="EY31">
        <v>0</v>
      </c>
      <c r="FQ31">
        <v>0</v>
      </c>
      <c r="FR31">
        <f t="shared" si="45"/>
        <v>0</v>
      </c>
      <c r="FS31">
        <v>0</v>
      </c>
      <c r="FX31">
        <v>95</v>
      </c>
      <c r="FY31">
        <v>65</v>
      </c>
      <c r="GA31" t="s">
        <v>3</v>
      </c>
      <c r="GD31">
        <v>1</v>
      </c>
      <c r="GF31">
        <v>519381605</v>
      </c>
      <c r="GG31">
        <v>1</v>
      </c>
      <c r="GH31">
        <v>1</v>
      </c>
      <c r="GI31">
        <v>4</v>
      </c>
      <c r="GJ31">
        <v>0</v>
      </c>
      <c r="GK31">
        <v>0</v>
      </c>
      <c r="GL31">
        <f t="shared" si="46"/>
        <v>0</v>
      </c>
      <c r="GM31">
        <f t="shared" si="47"/>
        <v>125.44</v>
      </c>
      <c r="GN31">
        <f t="shared" si="48"/>
        <v>0</v>
      </c>
      <c r="GO31">
        <f t="shared" si="49"/>
        <v>125.44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</v>
      </c>
      <c r="GX31">
        <f t="shared" si="52"/>
        <v>0</v>
      </c>
      <c r="HA31">
        <v>0</v>
      </c>
      <c r="HB31">
        <v>0</v>
      </c>
      <c r="HC31">
        <f t="shared" si="53"/>
        <v>0</v>
      </c>
      <c r="IF31">
        <v>-1</v>
      </c>
      <c r="IK31">
        <v>0</v>
      </c>
    </row>
    <row r="32" spans="1:255" x14ac:dyDescent="0.2">
      <c r="A32" s="2">
        <v>17</v>
      </c>
      <c r="B32" s="2">
        <v>1</v>
      </c>
      <c r="C32" s="2">
        <f>ROW(SmtRes!A70)</f>
        <v>70</v>
      </c>
      <c r="D32" s="2">
        <f>ROW(EtalonRes!A72)</f>
        <v>72</v>
      </c>
      <c r="E32" s="2" t="s">
        <v>41</v>
      </c>
      <c r="F32" s="2" t="s">
        <v>42</v>
      </c>
      <c r="G32" s="2" t="s">
        <v>43</v>
      </c>
      <c r="H32" s="2" t="s">
        <v>44</v>
      </c>
      <c r="I32" s="2">
        <f>'1.Лок.смета.и.Акт'!E79</f>
        <v>0.08</v>
      </c>
      <c r="J32" s="2">
        <v>0</v>
      </c>
      <c r="K32" s="2"/>
      <c r="L32" s="2"/>
      <c r="M32" s="2"/>
      <c r="N32" s="2"/>
      <c r="O32" s="2">
        <f t="shared" si="14"/>
        <v>9.3699999999999992</v>
      </c>
      <c r="P32" s="2">
        <f t="shared" si="15"/>
        <v>1.1499999999999999</v>
      </c>
      <c r="Q32" s="2">
        <f t="shared" si="16"/>
        <v>0</v>
      </c>
      <c r="R32" s="2">
        <f t="shared" si="17"/>
        <v>0</v>
      </c>
      <c r="S32" s="2">
        <f t="shared" si="18"/>
        <v>8.2200000000000006</v>
      </c>
      <c r="T32" s="2">
        <f t="shared" si="19"/>
        <v>0</v>
      </c>
      <c r="U32" s="2">
        <f t="shared" si="20"/>
        <v>0.74159999999999993</v>
      </c>
      <c r="V32" s="2">
        <f t="shared" si="21"/>
        <v>0</v>
      </c>
      <c r="W32" s="2">
        <f t="shared" si="22"/>
        <v>0</v>
      </c>
      <c r="X32" s="2">
        <f t="shared" si="23"/>
        <v>6.58</v>
      </c>
      <c r="Y32" s="2">
        <f t="shared" si="24"/>
        <v>4.93</v>
      </c>
      <c r="Z32" s="2"/>
      <c r="AA32" s="2">
        <v>34748518</v>
      </c>
      <c r="AB32" s="2">
        <f t="shared" si="25"/>
        <v>117.17</v>
      </c>
      <c r="AC32" s="2">
        <f t="shared" si="26"/>
        <v>14.37</v>
      </c>
      <c r="AD32" s="2">
        <f t="shared" si="27"/>
        <v>0</v>
      </c>
      <c r="AE32" s="2">
        <f t="shared" si="28"/>
        <v>0</v>
      </c>
      <c r="AF32" s="2">
        <f t="shared" si="29"/>
        <v>102.8</v>
      </c>
      <c r="AG32" s="2">
        <f t="shared" si="30"/>
        <v>0</v>
      </c>
      <c r="AH32" s="2">
        <f t="shared" si="31"/>
        <v>9.27</v>
      </c>
      <c r="AI32" s="2">
        <f t="shared" si="32"/>
        <v>0</v>
      </c>
      <c r="AJ32" s="2">
        <f t="shared" si="33"/>
        <v>0</v>
      </c>
      <c r="AK32" s="2">
        <v>117.17</v>
      </c>
      <c r="AL32" s="2">
        <v>14.37</v>
      </c>
      <c r="AM32" s="2">
        <v>0</v>
      </c>
      <c r="AN32" s="2">
        <v>0</v>
      </c>
      <c r="AO32" s="2">
        <v>102.8</v>
      </c>
      <c r="AP32" s="2">
        <v>0</v>
      </c>
      <c r="AQ32" s="2">
        <v>9.27</v>
      </c>
      <c r="AR32" s="2">
        <v>0</v>
      </c>
      <c r="AS32" s="2">
        <v>0</v>
      </c>
      <c r="AT32" s="2">
        <v>80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45</v>
      </c>
      <c r="BK32" s="2"/>
      <c r="BL32" s="2"/>
      <c r="BM32" s="2">
        <v>111003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80</v>
      </c>
      <c r="CA32" s="2">
        <v>60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9.370000000000001</v>
      </c>
      <c r="CQ32" s="2">
        <f t="shared" si="35"/>
        <v>14.37</v>
      </c>
      <c r="CR32" s="2">
        <f t="shared" si="36"/>
        <v>0</v>
      </c>
      <c r="CS32" s="2">
        <f t="shared" si="37"/>
        <v>0</v>
      </c>
      <c r="CT32" s="2">
        <f t="shared" si="38"/>
        <v>102.8</v>
      </c>
      <c r="CU32" s="2">
        <f t="shared" si="39"/>
        <v>0</v>
      </c>
      <c r="CV32" s="2">
        <f t="shared" si="40"/>
        <v>9.27</v>
      </c>
      <c r="CW32" s="2">
        <f t="shared" si="41"/>
        <v>0</v>
      </c>
      <c r="CX32" s="2">
        <f t="shared" si="42"/>
        <v>0</v>
      </c>
      <c r="CY32" s="2">
        <f t="shared" si="43"/>
        <v>6.5760000000000005</v>
      </c>
      <c r="CZ32" s="2">
        <f t="shared" si="44"/>
        <v>4.9320000000000004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44</v>
      </c>
      <c r="DW32" s="2" t="s">
        <v>44</v>
      </c>
      <c r="DX32" s="2">
        <v>100</v>
      </c>
      <c r="DY32" s="2"/>
      <c r="DZ32" s="2"/>
      <c r="EA32" s="2"/>
      <c r="EB32" s="2"/>
      <c r="EC32" s="2"/>
      <c r="ED32" s="2"/>
      <c r="EE32" s="2">
        <v>32653249</v>
      </c>
      <c r="EF32" s="2">
        <v>2</v>
      </c>
      <c r="EG32" s="2" t="s">
        <v>34</v>
      </c>
      <c r="EH32" s="2">
        <v>0</v>
      </c>
      <c r="EI32" s="2" t="s">
        <v>3</v>
      </c>
      <c r="EJ32" s="2">
        <v>2</v>
      </c>
      <c r="EK32" s="2">
        <v>111003</v>
      </c>
      <c r="EL32" s="2" t="s">
        <v>46</v>
      </c>
      <c r="EM32" s="2" t="s">
        <v>47</v>
      </c>
      <c r="EN32" s="2"/>
      <c r="EO32" s="2" t="s">
        <v>3</v>
      </c>
      <c r="EP32" s="2"/>
      <c r="EQ32" s="2">
        <v>0</v>
      </c>
      <c r="ER32" s="2">
        <v>117.17</v>
      </c>
      <c r="ES32" s="2">
        <v>14.37</v>
      </c>
      <c r="ET32" s="2">
        <v>0</v>
      </c>
      <c r="EU32" s="2">
        <v>0</v>
      </c>
      <c r="EV32" s="2">
        <v>102.8</v>
      </c>
      <c r="EW32" s="2">
        <v>9.27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80</v>
      </c>
      <c r="FY32" s="2">
        <v>60</v>
      </c>
      <c r="FZ32" s="2"/>
      <c r="GA32" s="2" t="s">
        <v>3</v>
      </c>
      <c r="GB32" s="2"/>
      <c r="GC32" s="2"/>
      <c r="GD32" s="2">
        <v>1</v>
      </c>
      <c r="GE32" s="2"/>
      <c r="GF32" s="2">
        <v>330457198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6"/>
        <v>0</v>
      </c>
      <c r="GM32" s="2">
        <f t="shared" si="47"/>
        <v>20.88</v>
      </c>
      <c r="GN32" s="2">
        <f t="shared" si="48"/>
        <v>0</v>
      </c>
      <c r="GO32" s="2">
        <f t="shared" si="49"/>
        <v>20.88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>
        <f t="shared" si="53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>
        <v>-1</v>
      </c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ROW(SmtRes!A74)</f>
        <v>74</v>
      </c>
      <c r="D33">
        <f>ROW(EtalonRes!A76)</f>
        <v>76</v>
      </c>
      <c r="E33" t="s">
        <v>41</v>
      </c>
      <c r="F33" t="s">
        <v>42</v>
      </c>
      <c r="G33" t="s">
        <v>43</v>
      </c>
      <c r="H33" t="s">
        <v>44</v>
      </c>
      <c r="I33">
        <f>'1.Лок.смета.и.Акт'!E79</f>
        <v>0.08</v>
      </c>
      <c r="J33">
        <v>0</v>
      </c>
      <c r="O33">
        <f t="shared" si="14"/>
        <v>117.17</v>
      </c>
      <c r="P33">
        <f t="shared" si="15"/>
        <v>14.37</v>
      </c>
      <c r="Q33">
        <f t="shared" si="16"/>
        <v>0</v>
      </c>
      <c r="R33">
        <f t="shared" si="17"/>
        <v>0</v>
      </c>
      <c r="S33">
        <f t="shared" si="18"/>
        <v>102.8</v>
      </c>
      <c r="T33">
        <f t="shared" si="19"/>
        <v>0</v>
      </c>
      <c r="U33">
        <f t="shared" si="20"/>
        <v>0.74159999999999993</v>
      </c>
      <c r="V33">
        <f t="shared" si="21"/>
        <v>0</v>
      </c>
      <c r="W33">
        <f t="shared" si="22"/>
        <v>0</v>
      </c>
      <c r="X33">
        <f t="shared" si="23"/>
        <v>82.24</v>
      </c>
      <c r="Y33">
        <f t="shared" si="24"/>
        <v>61.68</v>
      </c>
      <c r="AA33">
        <v>34748540</v>
      </c>
      <c r="AB33">
        <f t="shared" si="25"/>
        <v>117.17</v>
      </c>
      <c r="AC33">
        <f t="shared" si="26"/>
        <v>14.37</v>
      </c>
      <c r="AD33">
        <f t="shared" si="27"/>
        <v>0</v>
      </c>
      <c r="AE33">
        <f t="shared" si="28"/>
        <v>0</v>
      </c>
      <c r="AF33">
        <f t="shared" si="29"/>
        <v>102.8</v>
      </c>
      <c r="AG33">
        <f t="shared" si="30"/>
        <v>0</v>
      </c>
      <c r="AH33">
        <f t="shared" si="31"/>
        <v>9.27</v>
      </c>
      <c r="AI33">
        <f t="shared" si="32"/>
        <v>0</v>
      </c>
      <c r="AJ33">
        <f t="shared" si="33"/>
        <v>0</v>
      </c>
      <c r="AK33">
        <f>AL33+AM33+AO33</f>
        <v>117.17</v>
      </c>
      <c r="AL33" s="106">
        <f>'1.Лок.смета.и.Акт'!F81</f>
        <v>14.37</v>
      </c>
      <c r="AM33">
        <v>0</v>
      </c>
      <c r="AN33">
        <v>0</v>
      </c>
      <c r="AO33" s="106">
        <f>'1.Лок.смета.и.Акт'!F80</f>
        <v>102.8</v>
      </c>
      <c r="AP33">
        <v>0</v>
      </c>
      <c r="AQ33">
        <f>'1.Лок.смета.и.Акт'!E84</f>
        <v>9.27</v>
      </c>
      <c r="AR33">
        <v>0</v>
      </c>
      <c r="AS33">
        <v>0</v>
      </c>
      <c r="AT33">
        <v>80</v>
      </c>
      <c r="AU33">
        <v>60</v>
      </c>
      <c r="AV33">
        <v>1</v>
      </c>
      <c r="AW33">
        <v>1</v>
      </c>
      <c r="AZ33">
        <v>12.5</v>
      </c>
      <c r="BA33">
        <f>'1.Лок.смета.и.Акт'!J80</f>
        <v>12.5</v>
      </c>
      <c r="BB33">
        <v>12.5</v>
      </c>
      <c r="BC33">
        <f>'1.Лок.смета.и.Акт'!J81</f>
        <v>12.5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45</v>
      </c>
      <c r="BM33">
        <v>111003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v>12.5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80</v>
      </c>
      <c r="CA33">
        <v>60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117.17</v>
      </c>
      <c r="CQ33">
        <f t="shared" si="35"/>
        <v>179.625</v>
      </c>
      <c r="CR33">
        <f t="shared" si="36"/>
        <v>0</v>
      </c>
      <c r="CS33">
        <f t="shared" si="37"/>
        <v>0</v>
      </c>
      <c r="CT33">
        <f t="shared" si="38"/>
        <v>1285</v>
      </c>
      <c r="CU33">
        <f t="shared" si="39"/>
        <v>0</v>
      </c>
      <c r="CV33">
        <f t="shared" si="40"/>
        <v>9.27</v>
      </c>
      <c r="CW33">
        <f t="shared" si="41"/>
        <v>0</v>
      </c>
      <c r="CX33">
        <f t="shared" si="42"/>
        <v>0</v>
      </c>
      <c r="CY33">
        <f t="shared" si="43"/>
        <v>82.24</v>
      </c>
      <c r="CZ33">
        <f t="shared" si="44"/>
        <v>61.68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44</v>
      </c>
      <c r="DW33" t="str">
        <f>'1.Лок.смета.и.Акт'!D79</f>
        <v>100 м</v>
      </c>
      <c r="DX33">
        <v>100</v>
      </c>
      <c r="EE33">
        <v>32653249</v>
      </c>
      <c r="EF33">
        <v>2</v>
      </c>
      <c r="EG33" t="s">
        <v>34</v>
      </c>
      <c r="EH33">
        <v>0</v>
      </c>
      <c r="EI33" t="s">
        <v>3</v>
      </c>
      <c r="EJ33">
        <v>2</v>
      </c>
      <c r="EK33">
        <v>111003</v>
      </c>
      <c r="EL33" t="s">
        <v>46</v>
      </c>
      <c r="EM33" t="s">
        <v>47</v>
      </c>
      <c r="EO33" t="s">
        <v>3</v>
      </c>
      <c r="EQ33">
        <v>0</v>
      </c>
      <c r="ER33">
        <f>ES33+ET33+EV33</f>
        <v>117.17</v>
      </c>
      <c r="ES33" s="106">
        <f>'1.Лок.смета.и.Акт'!F81</f>
        <v>14.37</v>
      </c>
      <c r="ET33">
        <v>0</v>
      </c>
      <c r="EU33">
        <v>0</v>
      </c>
      <c r="EV33" s="106">
        <f>'1.Лок.смета.и.Акт'!F80</f>
        <v>102.8</v>
      </c>
      <c r="EW33">
        <f>'1.Лок.смета.и.Акт'!E84</f>
        <v>9.27</v>
      </c>
      <c r="EX33">
        <v>0</v>
      </c>
      <c r="EY33">
        <v>0</v>
      </c>
      <c r="FQ33">
        <v>0</v>
      </c>
      <c r="FR33">
        <f t="shared" si="45"/>
        <v>0</v>
      </c>
      <c r="FS33">
        <v>0</v>
      </c>
      <c r="FX33">
        <v>80</v>
      </c>
      <c r="FY33">
        <v>60</v>
      </c>
      <c r="GA33" t="s">
        <v>3</v>
      </c>
      <c r="GD33">
        <v>1</v>
      </c>
      <c r="GF33">
        <v>330457198</v>
      </c>
      <c r="GG33">
        <v>1</v>
      </c>
      <c r="GH33">
        <v>1</v>
      </c>
      <c r="GI33">
        <v>4</v>
      </c>
      <c r="GJ33">
        <v>0</v>
      </c>
      <c r="GK33">
        <v>0</v>
      </c>
      <c r="GL33">
        <f t="shared" si="46"/>
        <v>0</v>
      </c>
      <c r="GM33">
        <f t="shared" si="47"/>
        <v>261.08999999999997</v>
      </c>
      <c r="GN33">
        <f t="shared" si="48"/>
        <v>0</v>
      </c>
      <c r="GO33">
        <f t="shared" si="49"/>
        <v>261.08999999999997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HC33">
        <f t="shared" si="53"/>
        <v>0</v>
      </c>
      <c r="IF33">
        <v>-1</v>
      </c>
      <c r="IK33">
        <v>0</v>
      </c>
    </row>
    <row r="34" spans="1:255" x14ac:dyDescent="0.2">
      <c r="A34" s="2">
        <v>17</v>
      </c>
      <c r="B34" s="2">
        <v>1</v>
      </c>
      <c r="C34" s="2">
        <f>ROW(SmtRes!A76)</f>
        <v>76</v>
      </c>
      <c r="D34" s="2">
        <f>ROW(EtalonRes!A78)</f>
        <v>78</v>
      </c>
      <c r="E34" s="2" t="s">
        <v>48</v>
      </c>
      <c r="F34" s="2" t="s">
        <v>49</v>
      </c>
      <c r="G34" s="2" t="s">
        <v>50</v>
      </c>
      <c r="H34" s="2" t="s">
        <v>16</v>
      </c>
      <c r="I34" s="2">
        <f>'1.Лок.смета.и.Акт'!E86</f>
        <v>0.36</v>
      </c>
      <c r="J34" s="2">
        <v>0</v>
      </c>
      <c r="K34" s="2"/>
      <c r="L34" s="2"/>
      <c r="M34" s="2"/>
      <c r="N34" s="2"/>
      <c r="O34" s="2">
        <f t="shared" si="14"/>
        <v>33.92</v>
      </c>
      <c r="P34" s="2">
        <f t="shared" si="15"/>
        <v>0.67</v>
      </c>
      <c r="Q34" s="2">
        <f t="shared" si="16"/>
        <v>0</v>
      </c>
      <c r="R34" s="2">
        <f t="shared" si="17"/>
        <v>0</v>
      </c>
      <c r="S34" s="2">
        <f t="shared" si="18"/>
        <v>33.25</v>
      </c>
      <c r="T34" s="2">
        <f t="shared" si="19"/>
        <v>0</v>
      </c>
      <c r="U34" s="2">
        <f t="shared" si="20"/>
        <v>3.456</v>
      </c>
      <c r="V34" s="2">
        <f t="shared" si="21"/>
        <v>0</v>
      </c>
      <c r="W34" s="2">
        <f t="shared" si="22"/>
        <v>0</v>
      </c>
      <c r="X34" s="2">
        <f t="shared" si="23"/>
        <v>31.59</v>
      </c>
      <c r="Y34" s="2">
        <f t="shared" si="24"/>
        <v>21.61</v>
      </c>
      <c r="Z34" s="2"/>
      <c r="AA34" s="2">
        <v>34748518</v>
      </c>
      <c r="AB34" s="2">
        <f t="shared" si="25"/>
        <v>94.2</v>
      </c>
      <c r="AC34" s="2">
        <f t="shared" si="26"/>
        <v>1.85</v>
      </c>
      <c r="AD34" s="2">
        <f t="shared" si="27"/>
        <v>0</v>
      </c>
      <c r="AE34" s="2">
        <f t="shared" si="28"/>
        <v>0</v>
      </c>
      <c r="AF34" s="2">
        <f t="shared" si="29"/>
        <v>92.35</v>
      </c>
      <c r="AG34" s="2">
        <f t="shared" si="30"/>
        <v>0</v>
      </c>
      <c r="AH34" s="2">
        <f t="shared" si="31"/>
        <v>9.6</v>
      </c>
      <c r="AI34" s="2">
        <f t="shared" si="32"/>
        <v>0</v>
      </c>
      <c r="AJ34" s="2">
        <f t="shared" si="33"/>
        <v>0</v>
      </c>
      <c r="AK34" s="2">
        <v>94.2</v>
      </c>
      <c r="AL34" s="2">
        <v>1.85</v>
      </c>
      <c r="AM34" s="2">
        <v>0</v>
      </c>
      <c r="AN34" s="2">
        <v>0</v>
      </c>
      <c r="AO34" s="2">
        <v>92.35</v>
      </c>
      <c r="AP34" s="2">
        <v>0</v>
      </c>
      <c r="AQ34" s="2">
        <v>9.6</v>
      </c>
      <c r="AR34" s="2">
        <v>0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51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33.92</v>
      </c>
      <c r="CQ34" s="2">
        <f t="shared" si="35"/>
        <v>1.85</v>
      </c>
      <c r="CR34" s="2">
        <f t="shared" si="36"/>
        <v>0</v>
      </c>
      <c r="CS34" s="2">
        <f t="shared" si="37"/>
        <v>0</v>
      </c>
      <c r="CT34" s="2">
        <f t="shared" si="38"/>
        <v>92.35</v>
      </c>
      <c r="CU34" s="2">
        <f t="shared" si="39"/>
        <v>0</v>
      </c>
      <c r="CV34" s="2">
        <f t="shared" si="40"/>
        <v>9.6</v>
      </c>
      <c r="CW34" s="2">
        <f t="shared" si="41"/>
        <v>0</v>
      </c>
      <c r="CX34" s="2">
        <f t="shared" si="42"/>
        <v>0</v>
      </c>
      <c r="CY34" s="2">
        <f t="shared" si="43"/>
        <v>31.587499999999999</v>
      </c>
      <c r="CZ34" s="2">
        <f t="shared" si="44"/>
        <v>21.612500000000001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16</v>
      </c>
      <c r="DW34" s="2" t="s">
        <v>16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34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35</v>
      </c>
      <c r="EM34" s="2" t="s">
        <v>36</v>
      </c>
      <c r="EN34" s="2"/>
      <c r="EO34" s="2" t="s">
        <v>3</v>
      </c>
      <c r="EP34" s="2"/>
      <c r="EQ34" s="2">
        <v>0</v>
      </c>
      <c r="ER34" s="2">
        <v>94.2</v>
      </c>
      <c r="ES34" s="2">
        <v>1.85</v>
      </c>
      <c r="ET34" s="2">
        <v>0</v>
      </c>
      <c r="EU34" s="2">
        <v>0</v>
      </c>
      <c r="EV34" s="2">
        <v>92.35</v>
      </c>
      <c r="EW34" s="2">
        <v>9.6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1</v>
      </c>
      <c r="GE34" s="2"/>
      <c r="GF34" s="2">
        <v>-777812502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6"/>
        <v>0</v>
      </c>
      <c r="GM34" s="2">
        <f t="shared" si="47"/>
        <v>87.12</v>
      </c>
      <c r="GN34" s="2">
        <f t="shared" si="48"/>
        <v>0</v>
      </c>
      <c r="GO34" s="2">
        <f t="shared" si="49"/>
        <v>87.12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>
        <f t="shared" si="53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>
        <v>-1</v>
      </c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ROW(SmtRes!A78)</f>
        <v>78</v>
      </c>
      <c r="D35">
        <f>ROW(EtalonRes!A80)</f>
        <v>80</v>
      </c>
      <c r="E35" t="s">
        <v>48</v>
      </c>
      <c r="F35" t="s">
        <v>49</v>
      </c>
      <c r="G35" t="s">
        <v>50</v>
      </c>
      <c r="H35" t="s">
        <v>16</v>
      </c>
      <c r="I35">
        <f>'1.Лок.смета.и.Акт'!E86</f>
        <v>0.36</v>
      </c>
      <c r="J35">
        <v>0</v>
      </c>
      <c r="O35">
        <f t="shared" si="14"/>
        <v>423.91</v>
      </c>
      <c r="P35">
        <f t="shared" si="15"/>
        <v>8.33</v>
      </c>
      <c r="Q35">
        <f t="shared" si="16"/>
        <v>0</v>
      </c>
      <c r="R35">
        <f t="shared" si="17"/>
        <v>0</v>
      </c>
      <c r="S35">
        <f t="shared" si="18"/>
        <v>415.58</v>
      </c>
      <c r="T35">
        <f t="shared" si="19"/>
        <v>0</v>
      </c>
      <c r="U35">
        <f t="shared" si="20"/>
        <v>3.456</v>
      </c>
      <c r="V35">
        <f t="shared" si="21"/>
        <v>0</v>
      </c>
      <c r="W35">
        <f t="shared" si="22"/>
        <v>0</v>
      </c>
      <c r="X35">
        <f t="shared" si="23"/>
        <v>394.8</v>
      </c>
      <c r="Y35">
        <f t="shared" si="24"/>
        <v>270.13</v>
      </c>
      <c r="AA35">
        <v>34748540</v>
      </c>
      <c r="AB35">
        <f t="shared" si="25"/>
        <v>94.2</v>
      </c>
      <c r="AC35">
        <f t="shared" si="26"/>
        <v>1.85</v>
      </c>
      <c r="AD35">
        <f t="shared" si="27"/>
        <v>0</v>
      </c>
      <c r="AE35">
        <f t="shared" si="28"/>
        <v>0</v>
      </c>
      <c r="AF35">
        <f t="shared" si="29"/>
        <v>92.35</v>
      </c>
      <c r="AG35">
        <f t="shared" si="30"/>
        <v>0</v>
      </c>
      <c r="AH35">
        <f t="shared" si="31"/>
        <v>9.6</v>
      </c>
      <c r="AI35">
        <f t="shared" si="32"/>
        <v>0</v>
      </c>
      <c r="AJ35">
        <f t="shared" si="33"/>
        <v>0</v>
      </c>
      <c r="AK35">
        <f>AL35+AM35+AO35</f>
        <v>94.199999999999989</v>
      </c>
      <c r="AL35" s="106">
        <f>'1.Лок.смета.и.Акт'!F88</f>
        <v>1.85</v>
      </c>
      <c r="AM35">
        <v>0</v>
      </c>
      <c r="AN35">
        <v>0</v>
      </c>
      <c r="AO35" s="106">
        <f>'1.Лок.смета.и.Акт'!F87</f>
        <v>92.35</v>
      </c>
      <c r="AP35">
        <v>0</v>
      </c>
      <c r="AQ35">
        <f>'1.Лок.смета.и.Акт'!E91</f>
        <v>9.6</v>
      </c>
      <c r="AR35">
        <v>0</v>
      </c>
      <c r="AS35">
        <v>0</v>
      </c>
      <c r="AT35">
        <v>95</v>
      </c>
      <c r="AU35">
        <v>65</v>
      </c>
      <c r="AV35">
        <v>1</v>
      </c>
      <c r="AW35">
        <v>1</v>
      </c>
      <c r="AZ35">
        <v>12.5</v>
      </c>
      <c r="BA35">
        <f>'1.Лок.смета.и.Акт'!J87</f>
        <v>12.5</v>
      </c>
      <c r="BB35">
        <v>12.5</v>
      </c>
      <c r="BC35">
        <f>'1.Лок.смета.и.Акт'!J88</f>
        <v>12.5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51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v>12.5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423.90999999999997</v>
      </c>
      <c r="CQ35">
        <f t="shared" si="35"/>
        <v>23.125</v>
      </c>
      <c r="CR35">
        <f t="shared" si="36"/>
        <v>0</v>
      </c>
      <c r="CS35">
        <f t="shared" si="37"/>
        <v>0</v>
      </c>
      <c r="CT35">
        <f t="shared" si="38"/>
        <v>1154.375</v>
      </c>
      <c r="CU35">
        <f t="shared" si="39"/>
        <v>0</v>
      </c>
      <c r="CV35">
        <f t="shared" si="40"/>
        <v>9.6</v>
      </c>
      <c r="CW35">
        <f t="shared" si="41"/>
        <v>0</v>
      </c>
      <c r="CX35">
        <f t="shared" si="42"/>
        <v>0</v>
      </c>
      <c r="CY35">
        <f t="shared" si="43"/>
        <v>394.80099999999999</v>
      </c>
      <c r="CZ35">
        <f t="shared" si="44"/>
        <v>270.12700000000001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16</v>
      </c>
      <c r="DW35" t="str">
        <f>'1.Лок.смета.и.Акт'!D86</f>
        <v>100 ШТ</v>
      </c>
      <c r="DX35">
        <v>1</v>
      </c>
      <c r="EE35">
        <v>32653241</v>
      </c>
      <c r="EF35">
        <v>2</v>
      </c>
      <c r="EG35" t="s">
        <v>34</v>
      </c>
      <c r="EH35">
        <v>0</v>
      </c>
      <c r="EI35" t="s">
        <v>3</v>
      </c>
      <c r="EJ35">
        <v>2</v>
      </c>
      <c r="EK35">
        <v>108001</v>
      </c>
      <c r="EL35" t="s">
        <v>35</v>
      </c>
      <c r="EM35" t="s">
        <v>36</v>
      </c>
      <c r="EO35" t="s">
        <v>3</v>
      </c>
      <c r="EQ35">
        <v>0</v>
      </c>
      <c r="ER35">
        <f>ES35+ET35+EV35</f>
        <v>94.199999999999989</v>
      </c>
      <c r="ES35" s="106">
        <f>'1.Лок.смета.и.Акт'!F88</f>
        <v>1.85</v>
      </c>
      <c r="ET35">
        <v>0</v>
      </c>
      <c r="EU35">
        <v>0</v>
      </c>
      <c r="EV35" s="106">
        <f>'1.Лок.смета.и.Акт'!F87</f>
        <v>92.35</v>
      </c>
      <c r="EW35">
        <f>'1.Лок.смета.и.Акт'!E91</f>
        <v>9.6</v>
      </c>
      <c r="EX35">
        <v>0</v>
      </c>
      <c r="EY35">
        <v>0</v>
      </c>
      <c r="FQ35">
        <v>0</v>
      </c>
      <c r="FR35">
        <f t="shared" si="45"/>
        <v>0</v>
      </c>
      <c r="FS35">
        <v>0</v>
      </c>
      <c r="FX35">
        <v>95</v>
      </c>
      <c r="FY35">
        <v>65</v>
      </c>
      <c r="GA35" t="s">
        <v>3</v>
      </c>
      <c r="GD35">
        <v>1</v>
      </c>
      <c r="GF35">
        <v>-777812502</v>
      </c>
      <c r="GG35">
        <v>1</v>
      </c>
      <c r="GH35">
        <v>1</v>
      </c>
      <c r="GI35">
        <v>4</v>
      </c>
      <c r="GJ35">
        <v>0</v>
      </c>
      <c r="GK35">
        <v>0</v>
      </c>
      <c r="GL35">
        <f t="shared" si="46"/>
        <v>0</v>
      </c>
      <c r="GM35">
        <f t="shared" si="47"/>
        <v>1088.8399999999999</v>
      </c>
      <c r="GN35">
        <f t="shared" si="48"/>
        <v>0</v>
      </c>
      <c r="GO35">
        <f t="shared" si="49"/>
        <v>1088.8399999999999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HC35">
        <f t="shared" si="53"/>
        <v>0</v>
      </c>
      <c r="IF35">
        <v>-1</v>
      </c>
      <c r="IK35">
        <v>0</v>
      </c>
    </row>
    <row r="36" spans="1:255" x14ac:dyDescent="0.2">
      <c r="A36" s="2">
        <v>17</v>
      </c>
      <c r="B36" s="2">
        <v>1</v>
      </c>
      <c r="C36" s="2">
        <f>ROW(SmtRes!A86)</f>
        <v>86</v>
      </c>
      <c r="D36" s="2">
        <f>ROW(EtalonRes!A88)</f>
        <v>88</v>
      </c>
      <c r="E36" s="2" t="s">
        <v>52</v>
      </c>
      <c r="F36" s="2" t="s">
        <v>53</v>
      </c>
      <c r="G36" s="2" t="s">
        <v>54</v>
      </c>
      <c r="H36" s="2" t="s">
        <v>44</v>
      </c>
      <c r="I36" s="2">
        <f>'1.Лок.смета.и.Акт'!E93</f>
        <v>0.1</v>
      </c>
      <c r="J36" s="2">
        <v>0</v>
      </c>
      <c r="K36" s="2"/>
      <c r="L36" s="2"/>
      <c r="M36" s="2"/>
      <c r="N36" s="2"/>
      <c r="O36" s="2">
        <f t="shared" si="14"/>
        <v>105.91</v>
      </c>
      <c r="P36" s="2">
        <f t="shared" si="15"/>
        <v>51.7</v>
      </c>
      <c r="Q36" s="2">
        <f t="shared" si="16"/>
        <v>15.66</v>
      </c>
      <c r="R36" s="2">
        <f t="shared" si="17"/>
        <v>1.75</v>
      </c>
      <c r="S36" s="2">
        <f t="shared" si="18"/>
        <v>38.549999999999997</v>
      </c>
      <c r="T36" s="2">
        <f t="shared" si="19"/>
        <v>0</v>
      </c>
      <c r="U36" s="2">
        <f t="shared" si="20"/>
        <v>4.25</v>
      </c>
      <c r="V36" s="2">
        <f t="shared" si="21"/>
        <v>0.17400000000000002</v>
      </c>
      <c r="W36" s="2">
        <f t="shared" si="22"/>
        <v>0</v>
      </c>
      <c r="X36" s="2">
        <f t="shared" si="23"/>
        <v>32.24</v>
      </c>
      <c r="Y36" s="2">
        <f t="shared" si="24"/>
        <v>24.18</v>
      </c>
      <c r="Z36" s="2"/>
      <c r="AA36" s="2">
        <v>34748518</v>
      </c>
      <c r="AB36" s="2">
        <f t="shared" si="25"/>
        <v>1059.04</v>
      </c>
      <c r="AC36" s="2">
        <f t="shared" si="26"/>
        <v>516.98</v>
      </c>
      <c r="AD36" s="2">
        <f t="shared" si="27"/>
        <v>156.58000000000001</v>
      </c>
      <c r="AE36" s="2">
        <f t="shared" si="28"/>
        <v>17.5</v>
      </c>
      <c r="AF36" s="2">
        <f t="shared" si="29"/>
        <v>385.48</v>
      </c>
      <c r="AG36" s="2">
        <f t="shared" si="30"/>
        <v>0</v>
      </c>
      <c r="AH36" s="2">
        <f t="shared" si="31"/>
        <v>42.5</v>
      </c>
      <c r="AI36" s="2">
        <f t="shared" si="32"/>
        <v>1.74</v>
      </c>
      <c r="AJ36" s="2">
        <f t="shared" si="33"/>
        <v>0</v>
      </c>
      <c r="AK36" s="2">
        <v>1059.04</v>
      </c>
      <c r="AL36" s="2">
        <v>516.98</v>
      </c>
      <c r="AM36" s="2">
        <v>156.58000000000001</v>
      </c>
      <c r="AN36" s="2">
        <v>17.5</v>
      </c>
      <c r="AO36" s="2">
        <v>385.48</v>
      </c>
      <c r="AP36" s="2">
        <v>0</v>
      </c>
      <c r="AQ36" s="2">
        <v>42.5</v>
      </c>
      <c r="AR36" s="2">
        <v>1.74</v>
      </c>
      <c r="AS36" s="2">
        <v>0</v>
      </c>
      <c r="AT36" s="2">
        <v>80</v>
      </c>
      <c r="AU36" s="2">
        <v>60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110001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80</v>
      </c>
      <c r="CA36" s="2">
        <v>60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105.91</v>
      </c>
      <c r="CQ36" s="2">
        <f t="shared" si="35"/>
        <v>516.98</v>
      </c>
      <c r="CR36" s="2">
        <f t="shared" si="36"/>
        <v>156.58000000000001</v>
      </c>
      <c r="CS36" s="2">
        <f t="shared" si="37"/>
        <v>17.5</v>
      </c>
      <c r="CT36" s="2">
        <f t="shared" si="38"/>
        <v>385.48</v>
      </c>
      <c r="CU36" s="2">
        <f t="shared" si="39"/>
        <v>0</v>
      </c>
      <c r="CV36" s="2">
        <f t="shared" si="40"/>
        <v>42.5</v>
      </c>
      <c r="CW36" s="2">
        <f t="shared" si="41"/>
        <v>1.74</v>
      </c>
      <c r="CX36" s="2">
        <f t="shared" si="42"/>
        <v>0</v>
      </c>
      <c r="CY36" s="2">
        <f t="shared" si="43"/>
        <v>32.24</v>
      </c>
      <c r="CZ36" s="2">
        <f t="shared" si="44"/>
        <v>24.18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44</v>
      </c>
      <c r="DW36" s="2" t="s">
        <v>44</v>
      </c>
      <c r="DX36" s="2">
        <v>100</v>
      </c>
      <c r="DY36" s="2"/>
      <c r="DZ36" s="2"/>
      <c r="EA36" s="2"/>
      <c r="EB36" s="2"/>
      <c r="EC36" s="2"/>
      <c r="ED36" s="2"/>
      <c r="EE36" s="2">
        <v>32653244</v>
      </c>
      <c r="EF36" s="2">
        <v>2</v>
      </c>
      <c r="EG36" s="2" t="s">
        <v>34</v>
      </c>
      <c r="EH36" s="2">
        <v>0</v>
      </c>
      <c r="EI36" s="2" t="s">
        <v>3</v>
      </c>
      <c r="EJ36" s="2">
        <v>2</v>
      </c>
      <c r="EK36" s="2">
        <v>110001</v>
      </c>
      <c r="EL36" s="2" t="s">
        <v>56</v>
      </c>
      <c r="EM36" s="2" t="s">
        <v>57</v>
      </c>
      <c r="EN36" s="2"/>
      <c r="EO36" s="2" t="s">
        <v>3</v>
      </c>
      <c r="EP36" s="2"/>
      <c r="EQ36" s="2">
        <v>0</v>
      </c>
      <c r="ER36" s="2">
        <v>1059.04</v>
      </c>
      <c r="ES36" s="2">
        <v>516.98</v>
      </c>
      <c r="ET36" s="2">
        <v>156.58000000000001</v>
      </c>
      <c r="EU36" s="2">
        <v>17.5</v>
      </c>
      <c r="EV36" s="2">
        <v>385.48</v>
      </c>
      <c r="EW36" s="2">
        <v>42.5</v>
      </c>
      <c r="EX36" s="2">
        <v>1.74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80</v>
      </c>
      <c r="FY36" s="2">
        <v>60</v>
      </c>
      <c r="FZ36" s="2"/>
      <c r="GA36" s="2" t="s">
        <v>3</v>
      </c>
      <c r="GB36" s="2"/>
      <c r="GC36" s="2"/>
      <c r="GD36" s="2">
        <v>1</v>
      </c>
      <c r="GE36" s="2"/>
      <c r="GF36" s="2">
        <v>235602342</v>
      </c>
      <c r="GG36" s="2">
        <v>2</v>
      </c>
      <c r="GH36" s="2">
        <v>1</v>
      </c>
      <c r="GI36" s="2">
        <v>-2</v>
      </c>
      <c r="GJ36" s="2">
        <v>0</v>
      </c>
      <c r="GK36" s="2">
        <v>0</v>
      </c>
      <c r="GL36" s="2">
        <f t="shared" si="46"/>
        <v>0</v>
      </c>
      <c r="GM36" s="2">
        <f t="shared" si="47"/>
        <v>162.33000000000001</v>
      </c>
      <c r="GN36" s="2">
        <f t="shared" si="48"/>
        <v>0</v>
      </c>
      <c r="GO36" s="2">
        <f t="shared" si="49"/>
        <v>162.33000000000001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>
        <f t="shared" si="53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>
        <v>-1</v>
      </c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ROW(SmtRes!A94)</f>
        <v>94</v>
      </c>
      <c r="D37">
        <f>ROW(EtalonRes!A96)</f>
        <v>96</v>
      </c>
      <c r="E37" t="s">
        <v>52</v>
      </c>
      <c r="F37" t="s">
        <v>53</v>
      </c>
      <c r="G37" t="s">
        <v>54</v>
      </c>
      <c r="H37" t="s">
        <v>44</v>
      </c>
      <c r="I37">
        <f>'1.Лок.смета.и.Акт'!E93</f>
        <v>0.1</v>
      </c>
      <c r="J37">
        <v>0</v>
      </c>
      <c r="O37">
        <f t="shared" si="14"/>
        <v>1323.81</v>
      </c>
      <c r="P37">
        <f t="shared" si="15"/>
        <v>646.23</v>
      </c>
      <c r="Q37">
        <f t="shared" si="16"/>
        <v>195.73</v>
      </c>
      <c r="R37">
        <f t="shared" si="17"/>
        <v>21.88</v>
      </c>
      <c r="S37">
        <f t="shared" si="18"/>
        <v>481.85</v>
      </c>
      <c r="T37">
        <f t="shared" si="19"/>
        <v>0</v>
      </c>
      <c r="U37">
        <f t="shared" si="20"/>
        <v>4.25</v>
      </c>
      <c r="V37">
        <f t="shared" si="21"/>
        <v>0.17400000000000002</v>
      </c>
      <c r="W37">
        <f t="shared" si="22"/>
        <v>0</v>
      </c>
      <c r="X37">
        <f t="shared" si="23"/>
        <v>402.98</v>
      </c>
      <c r="Y37">
        <f t="shared" si="24"/>
        <v>302.24</v>
      </c>
      <c r="AA37">
        <v>34748540</v>
      </c>
      <c r="AB37">
        <f t="shared" si="25"/>
        <v>1059.04</v>
      </c>
      <c r="AC37">
        <f t="shared" si="26"/>
        <v>516.98</v>
      </c>
      <c r="AD37">
        <f t="shared" si="27"/>
        <v>156.58000000000001</v>
      </c>
      <c r="AE37">
        <f t="shared" si="28"/>
        <v>17.5</v>
      </c>
      <c r="AF37">
        <f t="shared" si="29"/>
        <v>385.48</v>
      </c>
      <c r="AG37">
        <f t="shared" si="30"/>
        <v>0</v>
      </c>
      <c r="AH37">
        <f t="shared" si="31"/>
        <v>42.5</v>
      </c>
      <c r="AI37">
        <f t="shared" si="32"/>
        <v>1.74</v>
      </c>
      <c r="AJ37">
        <f t="shared" si="33"/>
        <v>0</v>
      </c>
      <c r="AK37">
        <f>AL37+AM37+AO37</f>
        <v>1059.04</v>
      </c>
      <c r="AL37" s="106">
        <f>'1.Лок.смета.и.Акт'!F97</f>
        <v>516.98</v>
      </c>
      <c r="AM37" s="106">
        <f>'1.Лок.смета.и.Акт'!F95</f>
        <v>156.58000000000001</v>
      </c>
      <c r="AN37" s="106">
        <f>'1.Лок.смета.и.Акт'!F96</f>
        <v>17.5</v>
      </c>
      <c r="AO37" s="106">
        <f>'1.Лок.смета.и.Акт'!F94</f>
        <v>385.48</v>
      </c>
      <c r="AP37">
        <v>0</v>
      </c>
      <c r="AQ37">
        <f>'1.Лок.смета.и.Акт'!E100</f>
        <v>42.5</v>
      </c>
      <c r="AR37">
        <v>1.74</v>
      </c>
      <c r="AS37">
        <v>0</v>
      </c>
      <c r="AT37">
        <v>80</v>
      </c>
      <c r="AU37">
        <v>60</v>
      </c>
      <c r="AV37">
        <v>1</v>
      </c>
      <c r="AW37">
        <v>1</v>
      </c>
      <c r="AZ37">
        <v>12.5</v>
      </c>
      <c r="BA37">
        <f>'1.Лок.смета.и.Акт'!J94</f>
        <v>12.5</v>
      </c>
      <c r="BB37">
        <f>'1.Лок.смета.и.Акт'!J95</f>
        <v>12.5</v>
      </c>
      <c r="BC37">
        <f>'1.Лок.смета.и.Акт'!J97</f>
        <v>12.5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110001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'1.Лок.смета.и.Акт'!J96</f>
        <v>12.5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80</v>
      </c>
      <c r="CA37">
        <v>60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1323.81</v>
      </c>
      <c r="CQ37">
        <f t="shared" si="35"/>
        <v>6462.25</v>
      </c>
      <c r="CR37">
        <f t="shared" si="36"/>
        <v>1957.2500000000002</v>
      </c>
      <c r="CS37">
        <f t="shared" si="37"/>
        <v>218.75</v>
      </c>
      <c r="CT37">
        <f t="shared" si="38"/>
        <v>4818.5</v>
      </c>
      <c r="CU37">
        <f t="shared" si="39"/>
        <v>0</v>
      </c>
      <c r="CV37">
        <f t="shared" si="40"/>
        <v>42.5</v>
      </c>
      <c r="CW37">
        <f t="shared" si="41"/>
        <v>1.74</v>
      </c>
      <c r="CX37">
        <f t="shared" si="42"/>
        <v>0</v>
      </c>
      <c r="CY37">
        <f t="shared" si="43"/>
        <v>402.98400000000004</v>
      </c>
      <c r="CZ37">
        <f t="shared" si="44"/>
        <v>302.23800000000006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44</v>
      </c>
      <c r="DW37" t="str">
        <f>'1.Лок.смета.и.Акт'!D93</f>
        <v>100 м</v>
      </c>
      <c r="DX37">
        <v>100</v>
      </c>
      <c r="EE37">
        <v>32653244</v>
      </c>
      <c r="EF37">
        <v>2</v>
      </c>
      <c r="EG37" t="s">
        <v>34</v>
      </c>
      <c r="EH37">
        <v>0</v>
      </c>
      <c r="EI37" t="s">
        <v>3</v>
      </c>
      <c r="EJ37">
        <v>2</v>
      </c>
      <c r="EK37">
        <v>110001</v>
      </c>
      <c r="EL37" t="s">
        <v>56</v>
      </c>
      <c r="EM37" t="s">
        <v>57</v>
      </c>
      <c r="EO37" t="s">
        <v>3</v>
      </c>
      <c r="EQ37">
        <v>0</v>
      </c>
      <c r="ER37">
        <f>ES37+ET37+EV37</f>
        <v>1059.04</v>
      </c>
      <c r="ES37" s="106">
        <f>'1.Лок.смета.и.Акт'!F97</f>
        <v>516.98</v>
      </c>
      <c r="ET37" s="106">
        <f>'1.Лок.смета.и.Акт'!F95</f>
        <v>156.58000000000001</v>
      </c>
      <c r="EU37" s="106">
        <f>'1.Лок.смета.и.Акт'!F96</f>
        <v>17.5</v>
      </c>
      <c r="EV37" s="106">
        <f>'1.Лок.смета.и.Акт'!F94</f>
        <v>385.48</v>
      </c>
      <c r="EW37">
        <f>'1.Лок.смета.и.Акт'!E100</f>
        <v>42.5</v>
      </c>
      <c r="EX37">
        <v>1.74</v>
      </c>
      <c r="EY37">
        <v>0</v>
      </c>
      <c r="FQ37">
        <v>0</v>
      </c>
      <c r="FR37">
        <f t="shared" si="45"/>
        <v>0</v>
      </c>
      <c r="FS37">
        <v>0</v>
      </c>
      <c r="FX37">
        <v>80</v>
      </c>
      <c r="FY37">
        <v>60</v>
      </c>
      <c r="GA37" t="s">
        <v>3</v>
      </c>
      <c r="GD37">
        <v>1</v>
      </c>
      <c r="GF37">
        <v>235602342</v>
      </c>
      <c r="GG37">
        <v>1</v>
      </c>
      <c r="GH37">
        <v>1</v>
      </c>
      <c r="GI37">
        <v>4</v>
      </c>
      <c r="GJ37">
        <v>0</v>
      </c>
      <c r="GK37">
        <v>0</v>
      </c>
      <c r="GL37">
        <f t="shared" si="46"/>
        <v>0</v>
      </c>
      <c r="GM37">
        <f t="shared" si="47"/>
        <v>2029.03</v>
      </c>
      <c r="GN37">
        <f t="shared" si="48"/>
        <v>0</v>
      </c>
      <c r="GO37">
        <f t="shared" si="49"/>
        <v>2029.03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</v>
      </c>
      <c r="GX37">
        <f t="shared" si="52"/>
        <v>0</v>
      </c>
      <c r="HA37">
        <v>0</v>
      </c>
      <c r="HB37">
        <v>0</v>
      </c>
      <c r="HC37">
        <f t="shared" si="53"/>
        <v>0</v>
      </c>
      <c r="IF37">
        <v>-1</v>
      </c>
      <c r="IK37">
        <v>0</v>
      </c>
    </row>
    <row r="38" spans="1:255" x14ac:dyDescent="0.2">
      <c r="A38" s="2">
        <v>17</v>
      </c>
      <c r="B38" s="2">
        <v>1</v>
      </c>
      <c r="C38" s="2">
        <f>ROW(SmtRes!A96)</f>
        <v>96</v>
      </c>
      <c r="D38" s="2">
        <f>ROW(EtalonRes!A98)</f>
        <v>98</v>
      </c>
      <c r="E38" s="2" t="s">
        <v>58</v>
      </c>
      <c r="F38" s="2" t="s">
        <v>59</v>
      </c>
      <c r="G38" s="2" t="s">
        <v>60</v>
      </c>
      <c r="H38" s="2" t="s">
        <v>32</v>
      </c>
      <c r="I38" s="2">
        <f>'1.Лок.смета.и.Акт'!E102</f>
        <v>1</v>
      </c>
      <c r="J38" s="2">
        <v>0</v>
      </c>
      <c r="K38" s="2"/>
      <c r="L38" s="2"/>
      <c r="M38" s="2"/>
      <c r="N38" s="2"/>
      <c r="O38" s="2">
        <f t="shared" si="14"/>
        <v>20.75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20.75</v>
      </c>
      <c r="T38" s="2">
        <f t="shared" si="19"/>
        <v>0</v>
      </c>
      <c r="U38" s="2">
        <f t="shared" si="20"/>
        <v>1.62</v>
      </c>
      <c r="V38" s="2">
        <f t="shared" si="21"/>
        <v>0</v>
      </c>
      <c r="W38" s="2">
        <f t="shared" si="22"/>
        <v>0</v>
      </c>
      <c r="X38" s="2">
        <f t="shared" si="23"/>
        <v>13.49</v>
      </c>
      <c r="Y38" s="2">
        <f t="shared" si="24"/>
        <v>8.3000000000000007</v>
      </c>
      <c r="Z38" s="2"/>
      <c r="AA38" s="2">
        <v>34748518</v>
      </c>
      <c r="AB38" s="2">
        <f t="shared" si="25"/>
        <v>20.75</v>
      </c>
      <c r="AC38" s="2">
        <f t="shared" si="26"/>
        <v>0</v>
      </c>
      <c r="AD38" s="2">
        <f t="shared" si="27"/>
        <v>0</v>
      </c>
      <c r="AE38" s="2">
        <f t="shared" si="28"/>
        <v>0</v>
      </c>
      <c r="AF38" s="2">
        <f t="shared" si="29"/>
        <v>20.75</v>
      </c>
      <c r="AG38" s="2">
        <f t="shared" si="30"/>
        <v>0</v>
      </c>
      <c r="AH38" s="2">
        <f t="shared" si="31"/>
        <v>1.62</v>
      </c>
      <c r="AI38" s="2">
        <f t="shared" si="32"/>
        <v>0</v>
      </c>
      <c r="AJ38" s="2">
        <f t="shared" si="33"/>
        <v>0</v>
      </c>
      <c r="AK38" s="2">
        <v>20.75</v>
      </c>
      <c r="AL38" s="2">
        <v>0</v>
      </c>
      <c r="AM38" s="2">
        <v>0</v>
      </c>
      <c r="AN38" s="2">
        <v>0</v>
      </c>
      <c r="AO38" s="2">
        <v>20.75</v>
      </c>
      <c r="AP38" s="2">
        <v>0</v>
      </c>
      <c r="AQ38" s="2">
        <v>1.62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61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20.75</v>
      </c>
      <c r="CQ38" s="2">
        <f t="shared" si="35"/>
        <v>0</v>
      </c>
      <c r="CR38" s="2">
        <f t="shared" si="36"/>
        <v>0</v>
      </c>
      <c r="CS38" s="2">
        <f t="shared" si="37"/>
        <v>0</v>
      </c>
      <c r="CT38" s="2">
        <f t="shared" si="38"/>
        <v>20.75</v>
      </c>
      <c r="CU38" s="2">
        <f t="shared" si="39"/>
        <v>0</v>
      </c>
      <c r="CV38" s="2">
        <f t="shared" si="40"/>
        <v>1.62</v>
      </c>
      <c r="CW38" s="2">
        <f t="shared" si="41"/>
        <v>0</v>
      </c>
      <c r="CX38" s="2">
        <f t="shared" si="42"/>
        <v>0</v>
      </c>
      <c r="CY38" s="2">
        <f t="shared" si="43"/>
        <v>13.487500000000001</v>
      </c>
      <c r="CZ38" s="2">
        <f t="shared" si="44"/>
        <v>8.3000000000000007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32</v>
      </c>
      <c r="DW38" s="2" t="s">
        <v>32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62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63</v>
      </c>
      <c r="EM38" s="2" t="s">
        <v>64</v>
      </c>
      <c r="EN38" s="2"/>
      <c r="EO38" s="2" t="s">
        <v>3</v>
      </c>
      <c r="EP38" s="2"/>
      <c r="EQ38" s="2">
        <v>0</v>
      </c>
      <c r="ER38" s="2">
        <v>20.75</v>
      </c>
      <c r="ES38" s="2">
        <v>0</v>
      </c>
      <c r="ET38" s="2">
        <v>0</v>
      </c>
      <c r="EU38" s="2">
        <v>0</v>
      </c>
      <c r="EV38" s="2">
        <v>20.75</v>
      </c>
      <c r="EW38" s="2">
        <v>1.62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1</v>
      </c>
      <c r="GE38" s="2"/>
      <c r="GF38" s="2">
        <v>-64219545</v>
      </c>
      <c r="GG38" s="2">
        <v>2</v>
      </c>
      <c r="GH38" s="2">
        <v>1</v>
      </c>
      <c r="GI38" s="2">
        <v>-2</v>
      </c>
      <c r="GJ38" s="2">
        <v>0</v>
      </c>
      <c r="GK38" s="2">
        <v>0</v>
      </c>
      <c r="GL38" s="2">
        <f t="shared" si="46"/>
        <v>0</v>
      </c>
      <c r="GM38" s="2">
        <f t="shared" si="47"/>
        <v>42.54</v>
      </c>
      <c r="GN38" s="2">
        <f t="shared" si="48"/>
        <v>0</v>
      </c>
      <c r="GO38" s="2">
        <f t="shared" si="49"/>
        <v>0</v>
      </c>
      <c r="GP38" s="2">
        <f t="shared" si="50"/>
        <v>42.54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>
        <f t="shared" si="53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>
        <v>-1</v>
      </c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ROW(SmtRes!A98)</f>
        <v>98</v>
      </c>
      <c r="D39">
        <f>ROW(EtalonRes!A100)</f>
        <v>100</v>
      </c>
      <c r="E39" t="s">
        <v>58</v>
      </c>
      <c r="F39" t="s">
        <v>59</v>
      </c>
      <c r="G39" t="s">
        <v>60</v>
      </c>
      <c r="H39" t="s">
        <v>32</v>
      </c>
      <c r="I39">
        <f>'1.Лок.смета.и.Акт'!E102</f>
        <v>1</v>
      </c>
      <c r="J39">
        <v>0</v>
      </c>
      <c r="O39">
        <f t="shared" si="14"/>
        <v>379.73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379.73</v>
      </c>
      <c r="T39">
        <f t="shared" si="19"/>
        <v>0</v>
      </c>
      <c r="U39">
        <f t="shared" si="20"/>
        <v>1.62</v>
      </c>
      <c r="V39">
        <f t="shared" si="21"/>
        <v>0</v>
      </c>
      <c r="W39">
        <f t="shared" si="22"/>
        <v>0</v>
      </c>
      <c r="X39">
        <f t="shared" si="23"/>
        <v>246.82</v>
      </c>
      <c r="Y39">
        <f t="shared" si="24"/>
        <v>151.88999999999999</v>
      </c>
      <c r="AA39">
        <v>34748540</v>
      </c>
      <c r="AB39">
        <f t="shared" si="25"/>
        <v>20.75</v>
      </c>
      <c r="AC39">
        <f t="shared" si="26"/>
        <v>0</v>
      </c>
      <c r="AD39">
        <f t="shared" si="27"/>
        <v>0</v>
      </c>
      <c r="AE39">
        <f t="shared" si="28"/>
        <v>0</v>
      </c>
      <c r="AF39">
        <f t="shared" si="29"/>
        <v>20.75</v>
      </c>
      <c r="AG39">
        <f t="shared" si="30"/>
        <v>0</v>
      </c>
      <c r="AH39">
        <f t="shared" si="31"/>
        <v>1.62</v>
      </c>
      <c r="AI39">
        <f t="shared" si="32"/>
        <v>0</v>
      </c>
      <c r="AJ39">
        <f t="shared" si="33"/>
        <v>0</v>
      </c>
      <c r="AK39">
        <f>AL39+AM39+AO39</f>
        <v>20.75</v>
      </c>
      <c r="AL39">
        <v>0</v>
      </c>
      <c r="AM39">
        <v>0</v>
      </c>
      <c r="AN39">
        <v>0</v>
      </c>
      <c r="AO39" s="106">
        <f>'1.Лок.смета.и.Акт'!F103</f>
        <v>20.75</v>
      </c>
      <c r="AP39">
        <v>0</v>
      </c>
      <c r="AQ39">
        <f>'1.Лок.смета.и.Акт'!E106</f>
        <v>1.62</v>
      </c>
      <c r="AR39">
        <v>0</v>
      </c>
      <c r="AS39">
        <v>0</v>
      </c>
      <c r="AT39">
        <v>65</v>
      </c>
      <c r="AU39">
        <v>40</v>
      </c>
      <c r="AV39">
        <v>1</v>
      </c>
      <c r="AW39">
        <v>1</v>
      </c>
      <c r="AZ39">
        <v>18.3</v>
      </c>
      <c r="BA39">
        <f>'1.Лок.смета.и.Акт'!J103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61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379.73</v>
      </c>
      <c r="CQ39">
        <f t="shared" si="35"/>
        <v>0</v>
      </c>
      <c r="CR39">
        <f t="shared" si="36"/>
        <v>0</v>
      </c>
      <c r="CS39">
        <f t="shared" si="37"/>
        <v>0</v>
      </c>
      <c r="CT39">
        <f t="shared" si="38"/>
        <v>379.72500000000002</v>
      </c>
      <c r="CU39">
        <f t="shared" si="39"/>
        <v>0</v>
      </c>
      <c r="CV39">
        <f t="shared" si="40"/>
        <v>1.62</v>
      </c>
      <c r="CW39">
        <f t="shared" si="41"/>
        <v>0</v>
      </c>
      <c r="CX39">
        <f t="shared" si="42"/>
        <v>0</v>
      </c>
      <c r="CY39">
        <f t="shared" si="43"/>
        <v>246.8245</v>
      </c>
      <c r="CZ39">
        <f t="shared" si="44"/>
        <v>151.892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32</v>
      </c>
      <c r="DW39" t="str">
        <f>'1.Лок.смета.и.Акт'!D102</f>
        <v>ШТ</v>
      </c>
      <c r="DX39">
        <v>1</v>
      </c>
      <c r="EE39">
        <v>32653283</v>
      </c>
      <c r="EF39">
        <v>5</v>
      </c>
      <c r="EG39" t="s">
        <v>62</v>
      </c>
      <c r="EH39">
        <v>0</v>
      </c>
      <c r="EI39" t="s">
        <v>3</v>
      </c>
      <c r="EJ39">
        <v>4</v>
      </c>
      <c r="EK39">
        <v>200001</v>
      </c>
      <c r="EL39" t="s">
        <v>63</v>
      </c>
      <c r="EM39" t="s">
        <v>64</v>
      </c>
      <c r="EO39" t="s">
        <v>3</v>
      </c>
      <c r="EQ39">
        <v>0</v>
      </c>
      <c r="ER39">
        <f>ES39+ET39+EV39</f>
        <v>20.75</v>
      </c>
      <c r="ES39">
        <v>0</v>
      </c>
      <c r="ET39">
        <v>0</v>
      </c>
      <c r="EU39">
        <v>0</v>
      </c>
      <c r="EV39" s="106">
        <f>'1.Лок.смета.и.Акт'!F103</f>
        <v>20.75</v>
      </c>
      <c r="EW39">
        <f>'1.Лок.смета.и.Акт'!E106</f>
        <v>1.62</v>
      </c>
      <c r="EX39">
        <v>0</v>
      </c>
      <c r="EY39">
        <v>0</v>
      </c>
      <c r="FQ39">
        <v>0</v>
      </c>
      <c r="FR39">
        <f t="shared" si="45"/>
        <v>0</v>
      </c>
      <c r="FS39">
        <v>0</v>
      </c>
      <c r="FX39">
        <v>65</v>
      </c>
      <c r="FY39">
        <v>40</v>
      </c>
      <c r="GA39" t="s">
        <v>3</v>
      </c>
      <c r="GD39">
        <v>1</v>
      </c>
      <c r="GF39">
        <v>-64219545</v>
      </c>
      <c r="GG39">
        <v>1</v>
      </c>
      <c r="GH39">
        <v>1</v>
      </c>
      <c r="GI39">
        <v>4</v>
      </c>
      <c r="GJ39">
        <v>0</v>
      </c>
      <c r="GK39">
        <v>0</v>
      </c>
      <c r="GL39">
        <f t="shared" si="46"/>
        <v>0</v>
      </c>
      <c r="GM39">
        <f t="shared" si="47"/>
        <v>778.44</v>
      </c>
      <c r="GN39">
        <f t="shared" si="48"/>
        <v>0</v>
      </c>
      <c r="GO39">
        <f t="shared" si="49"/>
        <v>0</v>
      </c>
      <c r="GP39">
        <f t="shared" si="50"/>
        <v>778.44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</v>
      </c>
      <c r="GX39">
        <f t="shared" si="52"/>
        <v>0</v>
      </c>
      <c r="HA39">
        <v>0</v>
      </c>
      <c r="HB39">
        <v>0</v>
      </c>
      <c r="HC39">
        <f t="shared" si="53"/>
        <v>0</v>
      </c>
      <c r="IF39">
        <v>-1</v>
      </c>
      <c r="IK39">
        <v>0</v>
      </c>
    </row>
    <row r="40" spans="1:255" x14ac:dyDescent="0.2">
      <c r="A40" s="2">
        <v>17</v>
      </c>
      <c r="B40" s="2">
        <v>1</v>
      </c>
      <c r="C40" s="2">
        <f>ROW(SmtRes!A103)</f>
        <v>103</v>
      </c>
      <c r="D40" s="2">
        <f>ROW(EtalonRes!A106)</f>
        <v>106</v>
      </c>
      <c r="E40" s="2" t="s">
        <v>65</v>
      </c>
      <c r="F40" s="2" t="s">
        <v>66</v>
      </c>
      <c r="G40" s="2" t="s">
        <v>31</v>
      </c>
      <c r="H40" s="2" t="s">
        <v>67</v>
      </c>
      <c r="I40" s="2">
        <f>'1.Лок.смета.и.Акт'!E108</f>
        <v>1</v>
      </c>
      <c r="J40" s="2">
        <v>0</v>
      </c>
      <c r="K40" s="2"/>
      <c r="L40" s="2"/>
      <c r="M40" s="2"/>
      <c r="N40" s="2"/>
      <c r="O40" s="2">
        <f t="shared" si="14"/>
        <v>1143.25</v>
      </c>
      <c r="P40" s="2">
        <f t="shared" si="15"/>
        <v>0</v>
      </c>
      <c r="Q40" s="2">
        <f t="shared" si="16"/>
        <v>868.21</v>
      </c>
      <c r="R40" s="2">
        <f t="shared" si="17"/>
        <v>110.79</v>
      </c>
      <c r="S40" s="2">
        <f t="shared" si="18"/>
        <v>275.04000000000002</v>
      </c>
      <c r="T40" s="2">
        <f t="shared" si="19"/>
        <v>0</v>
      </c>
      <c r="U40" s="2">
        <f t="shared" si="20"/>
        <v>28.59</v>
      </c>
      <c r="V40" s="2">
        <f t="shared" si="21"/>
        <v>9.8800000000000008</v>
      </c>
      <c r="W40" s="2">
        <f t="shared" si="22"/>
        <v>0</v>
      </c>
      <c r="X40" s="2">
        <f t="shared" si="23"/>
        <v>405.12</v>
      </c>
      <c r="Y40" s="2">
        <f t="shared" si="24"/>
        <v>231.5</v>
      </c>
      <c r="Z40" s="2"/>
      <c r="AA40" s="2">
        <v>34748518</v>
      </c>
      <c r="AB40" s="2">
        <f t="shared" si="25"/>
        <v>1143.25</v>
      </c>
      <c r="AC40" s="2">
        <f t="shared" si="26"/>
        <v>0</v>
      </c>
      <c r="AD40" s="2">
        <f t="shared" si="27"/>
        <v>868.21</v>
      </c>
      <c r="AE40" s="2">
        <f t="shared" si="28"/>
        <v>110.79</v>
      </c>
      <c r="AF40" s="2">
        <f t="shared" si="29"/>
        <v>275.04000000000002</v>
      </c>
      <c r="AG40" s="2">
        <f t="shared" si="30"/>
        <v>0</v>
      </c>
      <c r="AH40" s="2">
        <f t="shared" si="31"/>
        <v>28.59</v>
      </c>
      <c r="AI40" s="2">
        <f t="shared" si="32"/>
        <v>9.8800000000000008</v>
      </c>
      <c r="AJ40" s="2">
        <f t="shared" si="33"/>
        <v>0</v>
      </c>
      <c r="AK40" s="2">
        <v>1143.25</v>
      </c>
      <c r="AL40" s="2">
        <v>0</v>
      </c>
      <c r="AM40" s="2">
        <v>868.21</v>
      </c>
      <c r="AN40" s="2">
        <v>110.79</v>
      </c>
      <c r="AO40" s="2">
        <v>275.04000000000002</v>
      </c>
      <c r="AP40" s="2">
        <v>0</v>
      </c>
      <c r="AQ40" s="2">
        <v>28.59</v>
      </c>
      <c r="AR40" s="2">
        <v>9.8800000000000008</v>
      </c>
      <c r="AS40" s="2">
        <v>0</v>
      </c>
      <c r="AT40" s="2">
        <v>105</v>
      </c>
      <c r="AU40" s="2">
        <v>60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68</v>
      </c>
      <c r="BK40" s="2"/>
      <c r="BL40" s="2"/>
      <c r="BM40" s="2">
        <v>33001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105</v>
      </c>
      <c r="CA40" s="2">
        <v>60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1143.25</v>
      </c>
      <c r="CQ40" s="2">
        <f t="shared" si="35"/>
        <v>0</v>
      </c>
      <c r="CR40" s="2">
        <f t="shared" si="36"/>
        <v>868.21</v>
      </c>
      <c r="CS40" s="2">
        <f t="shared" si="37"/>
        <v>110.79</v>
      </c>
      <c r="CT40" s="2">
        <f t="shared" si="38"/>
        <v>275.04000000000002</v>
      </c>
      <c r="CU40" s="2">
        <f t="shared" si="39"/>
        <v>0</v>
      </c>
      <c r="CV40" s="2">
        <f t="shared" si="40"/>
        <v>28.59</v>
      </c>
      <c r="CW40" s="2">
        <f t="shared" si="41"/>
        <v>9.8800000000000008</v>
      </c>
      <c r="CX40" s="2">
        <f t="shared" si="42"/>
        <v>0</v>
      </c>
      <c r="CY40" s="2">
        <f t="shared" si="43"/>
        <v>405.12150000000003</v>
      </c>
      <c r="CZ40" s="2">
        <f t="shared" si="44"/>
        <v>231.49800000000002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67</v>
      </c>
      <c r="DW40" s="2" t="s">
        <v>67</v>
      </c>
      <c r="DX40" s="2">
        <v>1</v>
      </c>
      <c r="DY40" s="2"/>
      <c r="DZ40" s="2"/>
      <c r="EA40" s="2"/>
      <c r="EB40" s="2"/>
      <c r="EC40" s="2"/>
      <c r="ED40" s="2"/>
      <c r="EE40" s="2">
        <v>32653413</v>
      </c>
      <c r="EF40" s="2">
        <v>1</v>
      </c>
      <c r="EG40" s="2" t="s">
        <v>26</v>
      </c>
      <c r="EH40" s="2">
        <v>0</v>
      </c>
      <c r="EI40" s="2" t="s">
        <v>3</v>
      </c>
      <c r="EJ40" s="2">
        <v>1</v>
      </c>
      <c r="EK40" s="2">
        <v>33001</v>
      </c>
      <c r="EL40" s="2" t="s">
        <v>69</v>
      </c>
      <c r="EM40" s="2" t="s">
        <v>70</v>
      </c>
      <c r="EN40" s="2"/>
      <c r="EO40" s="2" t="s">
        <v>3</v>
      </c>
      <c r="EP40" s="2"/>
      <c r="EQ40" s="2">
        <v>0</v>
      </c>
      <c r="ER40" s="2">
        <v>1143.25</v>
      </c>
      <c r="ES40" s="2">
        <v>0</v>
      </c>
      <c r="ET40" s="2">
        <v>868.21</v>
      </c>
      <c r="EU40" s="2">
        <v>110.79</v>
      </c>
      <c r="EV40" s="2">
        <v>275.04000000000002</v>
      </c>
      <c r="EW40" s="2">
        <v>28.59</v>
      </c>
      <c r="EX40" s="2">
        <v>9.8800000000000008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105</v>
      </c>
      <c r="FY40" s="2">
        <v>60</v>
      </c>
      <c r="FZ40" s="2"/>
      <c r="GA40" s="2" t="s">
        <v>3</v>
      </c>
      <c r="GB40" s="2"/>
      <c r="GC40" s="2"/>
      <c r="GD40" s="2">
        <v>1</v>
      </c>
      <c r="GE40" s="2"/>
      <c r="GF40" s="2">
        <v>78747100</v>
      </c>
      <c r="GG40" s="2">
        <v>2</v>
      </c>
      <c r="GH40" s="2">
        <v>1</v>
      </c>
      <c r="GI40" s="2">
        <v>-2</v>
      </c>
      <c r="GJ40" s="2">
        <v>0</v>
      </c>
      <c r="GK40" s="2">
        <v>0</v>
      </c>
      <c r="GL40" s="2">
        <f t="shared" si="46"/>
        <v>0</v>
      </c>
      <c r="GM40" s="2">
        <f t="shared" si="47"/>
        <v>1779.87</v>
      </c>
      <c r="GN40" s="2">
        <f t="shared" si="48"/>
        <v>1779.87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>
        <f t="shared" si="53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>
        <v>-1</v>
      </c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ROW(SmtRes!A108)</f>
        <v>108</v>
      </c>
      <c r="D41">
        <f>ROW(EtalonRes!A112)</f>
        <v>112</v>
      </c>
      <c r="E41" t="s">
        <v>65</v>
      </c>
      <c r="F41" t="s">
        <v>66</v>
      </c>
      <c r="G41" t="s">
        <v>31</v>
      </c>
      <c r="H41" t="s">
        <v>67</v>
      </c>
      <c r="I41">
        <f>'1.Лок.смета.и.Акт'!E108</f>
        <v>1</v>
      </c>
      <c r="J41">
        <v>0</v>
      </c>
      <c r="O41">
        <f t="shared" si="14"/>
        <v>14290.63</v>
      </c>
      <c r="P41">
        <f t="shared" si="15"/>
        <v>0</v>
      </c>
      <c r="Q41">
        <f t="shared" si="16"/>
        <v>10852.63</v>
      </c>
      <c r="R41">
        <f t="shared" si="17"/>
        <v>1384.88</v>
      </c>
      <c r="S41">
        <f t="shared" si="18"/>
        <v>3438</v>
      </c>
      <c r="T41">
        <f t="shared" si="19"/>
        <v>0</v>
      </c>
      <c r="U41">
        <f t="shared" si="20"/>
        <v>28.59</v>
      </c>
      <c r="V41">
        <f t="shared" si="21"/>
        <v>9.8800000000000008</v>
      </c>
      <c r="W41">
        <f t="shared" si="22"/>
        <v>0</v>
      </c>
      <c r="X41">
        <f t="shared" si="23"/>
        <v>5064.0200000000004</v>
      </c>
      <c r="Y41">
        <f t="shared" si="24"/>
        <v>2893.73</v>
      </c>
      <c r="AA41">
        <v>34748540</v>
      </c>
      <c r="AB41">
        <f t="shared" si="25"/>
        <v>1143.25</v>
      </c>
      <c r="AC41">
        <f t="shared" si="26"/>
        <v>0</v>
      </c>
      <c r="AD41">
        <f t="shared" si="27"/>
        <v>868.21</v>
      </c>
      <c r="AE41">
        <f t="shared" si="28"/>
        <v>110.79</v>
      </c>
      <c r="AF41">
        <f t="shared" si="29"/>
        <v>275.04000000000002</v>
      </c>
      <c r="AG41">
        <f t="shared" si="30"/>
        <v>0</v>
      </c>
      <c r="AH41">
        <f t="shared" si="31"/>
        <v>28.59</v>
      </c>
      <c r="AI41">
        <f t="shared" si="32"/>
        <v>9.8800000000000008</v>
      </c>
      <c r="AJ41">
        <f t="shared" si="33"/>
        <v>0</v>
      </c>
      <c r="AK41">
        <f>AL41+AM41+AO41</f>
        <v>1143.25</v>
      </c>
      <c r="AL41">
        <v>0</v>
      </c>
      <c r="AM41" s="106">
        <f>'1.Лок.смета.и.Акт'!F110</f>
        <v>868.21</v>
      </c>
      <c r="AN41" s="106">
        <f>'1.Лок.смета.и.Акт'!F111</f>
        <v>110.79</v>
      </c>
      <c r="AO41" s="106">
        <f>'1.Лок.смета.и.Акт'!F109</f>
        <v>275.04000000000002</v>
      </c>
      <c r="AP41">
        <v>0</v>
      </c>
      <c r="AQ41">
        <f>'1.Лок.смета.и.Акт'!E114</f>
        <v>28.59</v>
      </c>
      <c r="AR41">
        <v>9.8800000000000008</v>
      </c>
      <c r="AS41">
        <v>0</v>
      </c>
      <c r="AT41">
        <v>105</v>
      </c>
      <c r="AU41">
        <v>60</v>
      </c>
      <c r="AV41">
        <v>1</v>
      </c>
      <c r="AW41">
        <v>1</v>
      </c>
      <c r="AZ41">
        <v>12.5</v>
      </c>
      <c r="BA41">
        <f>'1.Лок.смета.и.Акт'!J109</f>
        <v>12.5</v>
      </c>
      <c r="BB41">
        <f>'1.Лок.смета.и.Акт'!J110</f>
        <v>12.5</v>
      </c>
      <c r="BC41">
        <v>12.5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68</v>
      </c>
      <c r="BM41">
        <v>33001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'1.Лок.смета.и.Акт'!J111</f>
        <v>12.5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105</v>
      </c>
      <c r="CA41">
        <v>60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14290.63</v>
      </c>
      <c r="CQ41">
        <f t="shared" si="35"/>
        <v>0</v>
      </c>
      <c r="CR41">
        <f t="shared" si="36"/>
        <v>10852.625</v>
      </c>
      <c r="CS41">
        <f t="shared" si="37"/>
        <v>1384.875</v>
      </c>
      <c r="CT41">
        <f t="shared" si="38"/>
        <v>3438.0000000000005</v>
      </c>
      <c r="CU41">
        <f t="shared" si="39"/>
        <v>0</v>
      </c>
      <c r="CV41">
        <f t="shared" si="40"/>
        <v>28.59</v>
      </c>
      <c r="CW41">
        <f t="shared" si="41"/>
        <v>9.8800000000000008</v>
      </c>
      <c r="CX41">
        <f t="shared" si="42"/>
        <v>0</v>
      </c>
      <c r="CY41">
        <f t="shared" si="43"/>
        <v>5064.0240000000003</v>
      </c>
      <c r="CZ41">
        <f t="shared" si="44"/>
        <v>2893.7280000000001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67</v>
      </c>
      <c r="DW41" t="str">
        <f>'1.Лок.смета.и.Акт'!D108</f>
        <v>КОМПЛ</v>
      </c>
      <c r="DX41">
        <v>1</v>
      </c>
      <c r="EE41">
        <v>32653413</v>
      </c>
      <c r="EF41">
        <v>1</v>
      </c>
      <c r="EG41" t="s">
        <v>26</v>
      </c>
      <c r="EH41">
        <v>0</v>
      </c>
      <c r="EI41" t="s">
        <v>3</v>
      </c>
      <c r="EJ41">
        <v>1</v>
      </c>
      <c r="EK41">
        <v>33001</v>
      </c>
      <c r="EL41" t="s">
        <v>69</v>
      </c>
      <c r="EM41" t="s">
        <v>70</v>
      </c>
      <c r="EO41" t="s">
        <v>3</v>
      </c>
      <c r="EQ41">
        <v>0</v>
      </c>
      <c r="ER41">
        <f>ES41+ET41+EV41</f>
        <v>1143.25</v>
      </c>
      <c r="ES41">
        <v>0</v>
      </c>
      <c r="ET41" s="106">
        <f>'1.Лок.смета.и.Акт'!F110</f>
        <v>868.21</v>
      </c>
      <c r="EU41" s="106">
        <f>'1.Лок.смета.и.Акт'!F111</f>
        <v>110.79</v>
      </c>
      <c r="EV41" s="106">
        <f>'1.Лок.смета.и.Акт'!F109</f>
        <v>275.04000000000002</v>
      </c>
      <c r="EW41">
        <f>'1.Лок.смета.и.Акт'!E114</f>
        <v>28.59</v>
      </c>
      <c r="EX41">
        <v>9.8800000000000008</v>
      </c>
      <c r="EY41">
        <v>0</v>
      </c>
      <c r="FQ41">
        <v>0</v>
      </c>
      <c r="FR41">
        <f t="shared" si="45"/>
        <v>0</v>
      </c>
      <c r="FS41">
        <v>0</v>
      </c>
      <c r="FX41">
        <v>105</v>
      </c>
      <c r="FY41">
        <v>60</v>
      </c>
      <c r="GA41" t="s">
        <v>3</v>
      </c>
      <c r="GD41">
        <v>1</v>
      </c>
      <c r="GF41">
        <v>78747100</v>
      </c>
      <c r="GG41">
        <v>1</v>
      </c>
      <c r="GH41">
        <v>1</v>
      </c>
      <c r="GI41">
        <v>4</v>
      </c>
      <c r="GJ41">
        <v>0</v>
      </c>
      <c r="GK41">
        <v>0</v>
      </c>
      <c r="GL41">
        <f t="shared" si="46"/>
        <v>0</v>
      </c>
      <c r="GM41">
        <f t="shared" si="47"/>
        <v>22248.38</v>
      </c>
      <c r="GN41">
        <f t="shared" si="48"/>
        <v>22248.38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HC41">
        <f t="shared" si="53"/>
        <v>0</v>
      </c>
      <c r="IF41">
        <v>-1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71</v>
      </c>
      <c r="F42" s="2" t="s">
        <v>72</v>
      </c>
      <c r="G42" s="2" t="s">
        <v>73</v>
      </c>
      <c r="H42" s="2" t="s">
        <v>32</v>
      </c>
      <c r="I42" s="2">
        <f>'1.Лок.смета.и.Акт'!E116</f>
        <v>1</v>
      </c>
      <c r="J42" s="2">
        <v>0</v>
      </c>
      <c r="K42" s="2"/>
      <c r="L42" s="2"/>
      <c r="M42" s="2"/>
      <c r="N42" s="2"/>
      <c r="O42" s="2">
        <f t="shared" si="14"/>
        <v>15067.44</v>
      </c>
      <c r="P42" s="2">
        <f t="shared" si="15"/>
        <v>15067.44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34748518</v>
      </c>
      <c r="AB42" s="2">
        <f t="shared" si="25"/>
        <v>15067.44</v>
      </c>
      <c r="AC42" s="2">
        <f t="shared" si="26"/>
        <v>15067.44</v>
      </c>
      <c r="AD42" s="2">
        <f t="shared" si="27"/>
        <v>0</v>
      </c>
      <c r="AE42" s="2">
        <f t="shared" si="28"/>
        <v>0</v>
      </c>
      <c r="AF42" s="2">
        <f t="shared" si="29"/>
        <v>0</v>
      </c>
      <c r="AG42" s="2">
        <f t="shared" si="30"/>
        <v>0</v>
      </c>
      <c r="AH42" s="2">
        <f t="shared" si="31"/>
        <v>0</v>
      </c>
      <c r="AI42" s="2">
        <f t="shared" si="32"/>
        <v>0</v>
      </c>
      <c r="AJ42" s="2">
        <f t="shared" si="33"/>
        <v>0</v>
      </c>
      <c r="AK42" s="2">
        <v>15067.44</v>
      </c>
      <c r="AL42" s="2">
        <v>15067.44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15067.44</v>
      </c>
      <c r="CQ42" s="2">
        <f t="shared" si="35"/>
        <v>15067.44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32</v>
      </c>
      <c r="DW42" s="2" t="s">
        <v>32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74</v>
      </c>
      <c r="EH42" s="2">
        <v>0</v>
      </c>
      <c r="EI42" s="2" t="s">
        <v>3</v>
      </c>
      <c r="EJ42" s="2">
        <v>1</v>
      </c>
      <c r="EK42" s="2">
        <v>1100</v>
      </c>
      <c r="EL42" s="2" t="s">
        <v>75</v>
      </c>
      <c r="EM42" s="2" t="s">
        <v>76</v>
      </c>
      <c r="EN42" s="2"/>
      <c r="EO42" s="2" t="s">
        <v>3</v>
      </c>
      <c r="EP42" s="2"/>
      <c r="EQ42" s="2">
        <v>0</v>
      </c>
      <c r="ER42" s="2">
        <v>0</v>
      </c>
      <c r="ES42" s="2">
        <v>15067.44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77</v>
      </c>
      <c r="GB42" s="2"/>
      <c r="GC42" s="2"/>
      <c r="GD42" s="2">
        <v>1</v>
      </c>
      <c r="GE42" s="2"/>
      <c r="GF42" s="2">
        <v>290465687</v>
      </c>
      <c r="GG42" s="2">
        <v>2</v>
      </c>
      <c r="GH42" s="2">
        <v>4</v>
      </c>
      <c r="GI42" s="2">
        <v>-2</v>
      </c>
      <c r="GJ42" s="2">
        <v>0</v>
      </c>
      <c r="GK42" s="2">
        <v>0</v>
      </c>
      <c r="GL42" s="2">
        <f t="shared" si="46"/>
        <v>0</v>
      </c>
      <c r="GM42" s="2">
        <f t="shared" si="47"/>
        <v>15067.44</v>
      </c>
      <c r="GN42" s="2">
        <f t="shared" si="48"/>
        <v>15067.44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>
        <f t="shared" si="53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>
        <v>-1</v>
      </c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71</v>
      </c>
      <c r="F43" t="str">
        <f>'1.Лок.смета.и.Акт'!B116</f>
        <v>Прайс-лист</v>
      </c>
      <c r="G43" t="str">
        <f>'1.Лок.смета.и.Акт'!C116</f>
        <v>Пункт коммерческого учета ПКУ</v>
      </c>
      <c r="H43" t="s">
        <v>32</v>
      </c>
      <c r="I43">
        <f>'1.Лок.смета.и.Акт'!E116</f>
        <v>1</v>
      </c>
      <c r="J43">
        <v>0</v>
      </c>
      <c r="O43">
        <f t="shared" si="14"/>
        <v>188343</v>
      </c>
      <c r="P43">
        <f t="shared" si="15"/>
        <v>188343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34748540</v>
      </c>
      <c r="AB43">
        <f t="shared" si="25"/>
        <v>15067.44</v>
      </c>
      <c r="AC43">
        <f t="shared" si="26"/>
        <v>15067.44</v>
      </c>
      <c r="AD43">
        <f t="shared" si="27"/>
        <v>0</v>
      </c>
      <c r="AE43">
        <f t="shared" si="28"/>
        <v>0</v>
      </c>
      <c r="AF43">
        <f t="shared" si="29"/>
        <v>0</v>
      </c>
      <c r="AG43">
        <f t="shared" si="30"/>
        <v>0</v>
      </c>
      <c r="AH43">
        <f t="shared" si="31"/>
        <v>0</v>
      </c>
      <c r="AI43">
        <f t="shared" si="32"/>
        <v>0</v>
      </c>
      <c r="AJ43">
        <f t="shared" si="33"/>
        <v>0</v>
      </c>
      <c r="AK43">
        <v>15067.44</v>
      </c>
      <c r="AL43" s="106">
        <f>'1.Лок.смета.и.Акт'!F116</f>
        <v>15067.44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12.5</v>
      </c>
      <c r="BA43">
        <v>1</v>
      </c>
      <c r="BB43">
        <v>1</v>
      </c>
      <c r="BC43">
        <f>'1.Лок.смета.и.Акт'!J116</f>
        <v>12.5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188343</v>
      </c>
      <c r="CQ43">
        <f t="shared" si="35"/>
        <v>188343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32</v>
      </c>
      <c r="DW43" t="str">
        <f>'1.Лок.смета.и.Акт'!D116</f>
        <v>ШТ</v>
      </c>
      <c r="DX43">
        <v>1</v>
      </c>
      <c r="EE43">
        <v>32653538</v>
      </c>
      <c r="EF43">
        <v>20</v>
      </c>
      <c r="EG43" t="s">
        <v>74</v>
      </c>
      <c r="EH43">
        <v>0</v>
      </c>
      <c r="EI43" t="s">
        <v>3</v>
      </c>
      <c r="EJ43">
        <v>1</v>
      </c>
      <c r="EK43">
        <v>1100</v>
      </c>
      <c r="EL43" t="s">
        <v>75</v>
      </c>
      <c r="EM43" t="s">
        <v>76</v>
      </c>
      <c r="EO43" t="s">
        <v>3</v>
      </c>
      <c r="EQ43">
        <v>0</v>
      </c>
      <c r="ER43">
        <v>25112.400000000001</v>
      </c>
      <c r="ES43" s="106">
        <f>'1.Лок.смета.и.Акт'!F116</f>
        <v>15067.44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184650</v>
      </c>
      <c r="FQ43">
        <v>0</v>
      </c>
      <c r="FR43">
        <f t="shared" si="45"/>
        <v>0</v>
      </c>
      <c r="FS43">
        <v>0</v>
      </c>
      <c r="FX43">
        <v>0</v>
      </c>
      <c r="FY43">
        <v>0</v>
      </c>
      <c r="GA43" t="s">
        <v>77</v>
      </c>
      <c r="GD43">
        <v>1</v>
      </c>
      <c r="GF43">
        <v>290465687</v>
      </c>
      <c r="GG43">
        <v>1</v>
      </c>
      <c r="GH43">
        <v>3</v>
      </c>
      <c r="GI43">
        <v>4</v>
      </c>
      <c r="GJ43">
        <v>0</v>
      </c>
      <c r="GK43">
        <v>0</v>
      </c>
      <c r="GL43">
        <f t="shared" si="46"/>
        <v>0</v>
      </c>
      <c r="GM43">
        <f t="shared" si="47"/>
        <v>188343</v>
      </c>
      <c r="GN43">
        <f t="shared" si="48"/>
        <v>188343</v>
      </c>
      <c r="GO43">
        <f t="shared" si="49"/>
        <v>0</v>
      </c>
      <c r="GP43">
        <f t="shared" si="50"/>
        <v>0</v>
      </c>
      <c r="GR43">
        <v>1</v>
      </c>
      <c r="GS43">
        <v>1</v>
      </c>
      <c r="GT43">
        <v>0</v>
      </c>
      <c r="GU43" t="s">
        <v>3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HC43">
        <f t="shared" si="53"/>
        <v>0</v>
      </c>
      <c r="IF43">
        <v>-1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78</v>
      </c>
      <c r="F44" s="2" t="s">
        <v>72</v>
      </c>
      <c r="G44" s="2" t="s">
        <v>79</v>
      </c>
      <c r="H44" s="2" t="s">
        <v>32</v>
      </c>
      <c r="I44" s="2">
        <f>'1.Лок.смета.и.Акт'!E119</f>
        <v>1</v>
      </c>
      <c r="J44" s="2">
        <v>0</v>
      </c>
      <c r="K44" s="2"/>
      <c r="L44" s="2"/>
      <c r="M44" s="2"/>
      <c r="N44" s="2"/>
      <c r="O44" s="2">
        <f t="shared" si="14"/>
        <v>8686.32</v>
      </c>
      <c r="P44" s="2">
        <f t="shared" si="15"/>
        <v>8686.32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34748518</v>
      </c>
      <c r="AB44" s="2">
        <f t="shared" si="25"/>
        <v>8686.32</v>
      </c>
      <c r="AC44" s="2">
        <f t="shared" si="26"/>
        <v>8686.32</v>
      </c>
      <c r="AD44" s="2">
        <f t="shared" si="27"/>
        <v>0</v>
      </c>
      <c r="AE44" s="2">
        <f t="shared" si="28"/>
        <v>0</v>
      </c>
      <c r="AF44" s="2">
        <f t="shared" si="29"/>
        <v>0</v>
      </c>
      <c r="AG44" s="2">
        <f t="shared" si="30"/>
        <v>0</v>
      </c>
      <c r="AH44" s="2">
        <f t="shared" si="31"/>
        <v>0</v>
      </c>
      <c r="AI44" s="2">
        <f t="shared" si="32"/>
        <v>0</v>
      </c>
      <c r="AJ44" s="2">
        <f t="shared" si="33"/>
        <v>0</v>
      </c>
      <c r="AK44" s="2">
        <v>8686.32</v>
      </c>
      <c r="AL44" s="2">
        <v>8686.32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8686.32</v>
      </c>
      <c r="CQ44" s="2">
        <f t="shared" si="35"/>
        <v>8686.32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32</v>
      </c>
      <c r="DW44" s="2" t="s">
        <v>32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74</v>
      </c>
      <c r="EH44" s="2">
        <v>0</v>
      </c>
      <c r="EI44" s="2" t="s">
        <v>3</v>
      </c>
      <c r="EJ44" s="2">
        <v>1</v>
      </c>
      <c r="EK44" s="2">
        <v>1100</v>
      </c>
      <c r="EL44" s="2" t="s">
        <v>75</v>
      </c>
      <c r="EM44" s="2" t="s">
        <v>76</v>
      </c>
      <c r="EN44" s="2"/>
      <c r="EO44" s="2" t="s">
        <v>3</v>
      </c>
      <c r="EP44" s="2"/>
      <c r="EQ44" s="2">
        <v>0</v>
      </c>
      <c r="ER44" s="2">
        <v>0</v>
      </c>
      <c r="ES44" s="2">
        <v>8686.32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80</v>
      </c>
      <c r="GB44" s="2"/>
      <c r="GC44" s="2"/>
      <c r="GD44" s="2">
        <v>1</v>
      </c>
      <c r="GE44" s="2"/>
      <c r="GF44" s="2">
        <v>2076188010</v>
      </c>
      <c r="GG44" s="2">
        <v>2</v>
      </c>
      <c r="GH44" s="2">
        <v>4</v>
      </c>
      <c r="GI44" s="2">
        <v>-2</v>
      </c>
      <c r="GJ44" s="2">
        <v>0</v>
      </c>
      <c r="GK44" s="2">
        <v>0</v>
      </c>
      <c r="GL44" s="2">
        <f t="shared" si="46"/>
        <v>0</v>
      </c>
      <c r="GM44" s="2">
        <f t="shared" si="47"/>
        <v>8686.32</v>
      </c>
      <c r="GN44" s="2">
        <f t="shared" si="48"/>
        <v>8686.32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>
        <f t="shared" si="53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-1</v>
      </c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78</v>
      </c>
      <c r="F45" t="str">
        <f>'1.Лок.смета.и.Акт'!B119</f>
        <v>Прайс-лист</v>
      </c>
      <c r="G45" t="str">
        <f>'1.Лок.смета.и.Акт'!C119</f>
        <v>Выключатель ВА5543</v>
      </c>
      <c r="H45" t="s">
        <v>32</v>
      </c>
      <c r="I45">
        <f>'1.Лок.смета.и.Акт'!E119</f>
        <v>1</v>
      </c>
      <c r="J45">
        <v>0</v>
      </c>
      <c r="O45">
        <f t="shared" si="14"/>
        <v>108579</v>
      </c>
      <c r="P45">
        <f t="shared" si="15"/>
        <v>108579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34748540</v>
      </c>
      <c r="AB45">
        <f t="shared" si="25"/>
        <v>8686.32</v>
      </c>
      <c r="AC45">
        <f t="shared" si="26"/>
        <v>8686.32</v>
      </c>
      <c r="AD45">
        <f t="shared" si="27"/>
        <v>0</v>
      </c>
      <c r="AE45">
        <f t="shared" si="28"/>
        <v>0</v>
      </c>
      <c r="AF45">
        <f t="shared" si="29"/>
        <v>0</v>
      </c>
      <c r="AG45">
        <f t="shared" si="30"/>
        <v>0</v>
      </c>
      <c r="AH45">
        <f t="shared" si="31"/>
        <v>0</v>
      </c>
      <c r="AI45">
        <f t="shared" si="32"/>
        <v>0</v>
      </c>
      <c r="AJ45">
        <f t="shared" si="33"/>
        <v>0</v>
      </c>
      <c r="AK45">
        <v>8686.32</v>
      </c>
      <c r="AL45" s="106">
        <f>'1.Лок.смета.и.Акт'!F119</f>
        <v>8686.32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12.5</v>
      </c>
      <c r="BA45">
        <v>1</v>
      </c>
      <c r="BB45">
        <v>1</v>
      </c>
      <c r="BC45">
        <f>'1.Лок.смета.и.Акт'!J119</f>
        <v>12.5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108579</v>
      </c>
      <c r="CQ45">
        <f t="shared" si="35"/>
        <v>108579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32</v>
      </c>
      <c r="DW45" t="str">
        <f>'1.Лок.смета.и.Акт'!D119</f>
        <v>ШТ</v>
      </c>
      <c r="DX45">
        <v>1</v>
      </c>
      <c r="EE45">
        <v>32653538</v>
      </c>
      <c r="EF45">
        <v>20</v>
      </c>
      <c r="EG45" t="s">
        <v>74</v>
      </c>
      <c r="EH45">
        <v>0</v>
      </c>
      <c r="EI45" t="s">
        <v>3</v>
      </c>
      <c r="EJ45">
        <v>1</v>
      </c>
      <c r="EK45">
        <v>1100</v>
      </c>
      <c r="EL45" t="s">
        <v>75</v>
      </c>
      <c r="EM45" t="s">
        <v>76</v>
      </c>
      <c r="EO45" t="s">
        <v>3</v>
      </c>
      <c r="EQ45">
        <v>0</v>
      </c>
      <c r="ER45">
        <v>14477.2</v>
      </c>
      <c r="ES45" s="106">
        <f>'1.Лок.смета.и.Акт'!F119</f>
        <v>8686.32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106449.98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A45" t="s">
        <v>80</v>
      </c>
      <c r="GD45">
        <v>1</v>
      </c>
      <c r="GF45">
        <v>2076188010</v>
      </c>
      <c r="GG45">
        <v>1</v>
      </c>
      <c r="GH45">
        <v>3</v>
      </c>
      <c r="GI45">
        <v>4</v>
      </c>
      <c r="GJ45">
        <v>0</v>
      </c>
      <c r="GK45">
        <v>0</v>
      </c>
      <c r="GL45">
        <f t="shared" si="46"/>
        <v>0</v>
      </c>
      <c r="GM45">
        <f t="shared" si="47"/>
        <v>108579</v>
      </c>
      <c r="GN45">
        <f t="shared" si="48"/>
        <v>108579</v>
      </c>
      <c r="GO45">
        <f t="shared" si="49"/>
        <v>0</v>
      </c>
      <c r="GP45">
        <f t="shared" si="50"/>
        <v>0</v>
      </c>
      <c r="GR45">
        <v>1</v>
      </c>
      <c r="GS45">
        <v>1</v>
      </c>
      <c r="GT45">
        <v>0</v>
      </c>
      <c r="GU45" t="s">
        <v>3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HC45">
        <f t="shared" si="53"/>
        <v>0</v>
      </c>
      <c r="IF45">
        <v>-1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81</v>
      </c>
      <c r="F46" s="2" t="s">
        <v>72</v>
      </c>
      <c r="G46" s="2" t="s">
        <v>82</v>
      </c>
      <c r="H46" s="2" t="s">
        <v>32</v>
      </c>
      <c r="I46" s="2">
        <f>'1.Лок.смета.и.Акт'!E122</f>
        <v>2</v>
      </c>
      <c r="J46" s="2">
        <v>0</v>
      </c>
      <c r="K46" s="2"/>
      <c r="L46" s="2"/>
      <c r="M46" s="2"/>
      <c r="N46" s="2"/>
      <c r="O46" s="2">
        <f t="shared" si="14"/>
        <v>54.5</v>
      </c>
      <c r="P46" s="2">
        <f t="shared" si="15"/>
        <v>54.5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34748518</v>
      </c>
      <c r="AB46" s="2">
        <f t="shared" si="25"/>
        <v>27.25</v>
      </c>
      <c r="AC46" s="2">
        <f t="shared" si="26"/>
        <v>27.25</v>
      </c>
      <c r="AD46" s="2">
        <f t="shared" si="27"/>
        <v>0</v>
      </c>
      <c r="AE46" s="2">
        <f t="shared" si="28"/>
        <v>0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0</v>
      </c>
      <c r="AJ46" s="2">
        <f t="shared" si="33"/>
        <v>0</v>
      </c>
      <c r="AK46" s="2">
        <v>27.25</v>
      </c>
      <c r="AL46" s="2">
        <v>27.25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54.5</v>
      </c>
      <c r="CQ46" s="2">
        <f t="shared" si="35"/>
        <v>27.25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32</v>
      </c>
      <c r="DW46" s="2" t="s">
        <v>32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74</v>
      </c>
      <c r="EH46" s="2">
        <v>0</v>
      </c>
      <c r="EI46" s="2" t="s">
        <v>3</v>
      </c>
      <c r="EJ46" s="2">
        <v>1</v>
      </c>
      <c r="EK46" s="2">
        <v>1100</v>
      </c>
      <c r="EL46" s="2" t="s">
        <v>75</v>
      </c>
      <c r="EM46" s="2" t="s">
        <v>76</v>
      </c>
      <c r="EN46" s="2"/>
      <c r="EO46" s="2" t="s">
        <v>3</v>
      </c>
      <c r="EP46" s="2"/>
      <c r="EQ46" s="2">
        <v>0</v>
      </c>
      <c r="ER46" s="2">
        <v>0</v>
      </c>
      <c r="ES46" s="2">
        <v>27.25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83</v>
      </c>
      <c r="GB46" s="2"/>
      <c r="GC46" s="2"/>
      <c r="GD46" s="2">
        <v>1</v>
      </c>
      <c r="GE46" s="2"/>
      <c r="GF46" s="2">
        <v>-467589401</v>
      </c>
      <c r="GG46" s="2">
        <v>2</v>
      </c>
      <c r="GH46" s="2">
        <v>4</v>
      </c>
      <c r="GI46" s="2">
        <v>-2</v>
      </c>
      <c r="GJ46" s="2">
        <v>0</v>
      </c>
      <c r="GK46" s="2">
        <v>0</v>
      </c>
      <c r="GL46" s="2">
        <f t="shared" si="46"/>
        <v>0</v>
      </c>
      <c r="GM46" s="2">
        <f t="shared" si="47"/>
        <v>54.5</v>
      </c>
      <c r="GN46" s="2">
        <f t="shared" si="48"/>
        <v>54.5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>
        <f t="shared" si="53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>
        <v>-1</v>
      </c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81</v>
      </c>
      <c r="F47" t="str">
        <f>'1.Лок.смета.и.Акт'!B122</f>
        <v>Прайс-лист</v>
      </c>
      <c r="G47" t="str">
        <f>'1.Лок.смета.и.Акт'!C122</f>
        <v>Розетка на DIN-рейку</v>
      </c>
      <c r="H47" t="s">
        <v>32</v>
      </c>
      <c r="I47">
        <f>'1.Лок.смета.и.Акт'!E122</f>
        <v>2</v>
      </c>
      <c r="J47">
        <v>0</v>
      </c>
      <c r="O47">
        <f t="shared" si="14"/>
        <v>681.25</v>
      </c>
      <c r="P47">
        <f t="shared" si="15"/>
        <v>681.25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34748540</v>
      </c>
      <c r="AB47">
        <f t="shared" si="25"/>
        <v>27.25</v>
      </c>
      <c r="AC47">
        <f t="shared" si="26"/>
        <v>27.25</v>
      </c>
      <c r="AD47">
        <f t="shared" si="27"/>
        <v>0</v>
      </c>
      <c r="AE47">
        <f t="shared" si="28"/>
        <v>0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27.25</v>
      </c>
      <c r="AL47" s="106">
        <f>'1.Лок.смета.и.Акт'!F122</f>
        <v>27.25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12.5</v>
      </c>
      <c r="BA47">
        <v>1</v>
      </c>
      <c r="BB47">
        <v>1</v>
      </c>
      <c r="BC47">
        <f>'1.Лок.смета.и.Акт'!J122</f>
        <v>12.5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681.25</v>
      </c>
      <c r="CQ47">
        <f t="shared" si="35"/>
        <v>340.625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32</v>
      </c>
      <c r="DW47" t="str">
        <f>'1.Лок.смета.и.Акт'!D122</f>
        <v>ШТ</v>
      </c>
      <c r="DX47">
        <v>1</v>
      </c>
      <c r="EE47">
        <v>32653538</v>
      </c>
      <c r="EF47">
        <v>20</v>
      </c>
      <c r="EG47" t="s">
        <v>74</v>
      </c>
      <c r="EH47">
        <v>0</v>
      </c>
      <c r="EI47" t="s">
        <v>3</v>
      </c>
      <c r="EJ47">
        <v>1</v>
      </c>
      <c r="EK47">
        <v>1100</v>
      </c>
      <c r="EL47" t="s">
        <v>75</v>
      </c>
      <c r="EM47" t="s">
        <v>76</v>
      </c>
      <c r="EO47" t="s">
        <v>3</v>
      </c>
      <c r="EQ47">
        <v>0</v>
      </c>
      <c r="ER47">
        <v>45.42</v>
      </c>
      <c r="ES47" s="106">
        <f>'1.Лок.смета.и.Акт'!F122</f>
        <v>27.25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334</v>
      </c>
      <c r="FQ47">
        <v>0</v>
      </c>
      <c r="FR47">
        <f t="shared" si="45"/>
        <v>0</v>
      </c>
      <c r="FS47">
        <v>0</v>
      </c>
      <c r="FX47">
        <v>0</v>
      </c>
      <c r="FY47">
        <v>0</v>
      </c>
      <c r="GA47" t="s">
        <v>83</v>
      </c>
      <c r="GD47">
        <v>1</v>
      </c>
      <c r="GF47">
        <v>-467589401</v>
      </c>
      <c r="GG47">
        <v>1</v>
      </c>
      <c r="GH47">
        <v>3</v>
      </c>
      <c r="GI47">
        <v>4</v>
      </c>
      <c r="GJ47">
        <v>0</v>
      </c>
      <c r="GK47">
        <v>0</v>
      </c>
      <c r="GL47">
        <f t="shared" si="46"/>
        <v>0</v>
      </c>
      <c r="GM47">
        <f t="shared" si="47"/>
        <v>681.25</v>
      </c>
      <c r="GN47">
        <f t="shared" si="48"/>
        <v>681.25</v>
      </c>
      <c r="GO47">
        <f t="shared" si="49"/>
        <v>0</v>
      </c>
      <c r="GP47">
        <f t="shared" si="50"/>
        <v>0</v>
      </c>
      <c r="GR47">
        <v>1</v>
      </c>
      <c r="GS47">
        <v>1</v>
      </c>
      <c r="GT47">
        <v>0</v>
      </c>
      <c r="GU47" t="s">
        <v>3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HC47">
        <f t="shared" si="53"/>
        <v>0</v>
      </c>
      <c r="IF47">
        <v>-1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84</v>
      </c>
      <c r="F48" s="2" t="s">
        <v>72</v>
      </c>
      <c r="G48" s="2" t="s">
        <v>85</v>
      </c>
      <c r="H48" s="2" t="s">
        <v>32</v>
      </c>
      <c r="I48" s="2">
        <f>'1.Лок.смета.и.Акт'!E125</f>
        <v>2</v>
      </c>
      <c r="J48" s="2">
        <v>0</v>
      </c>
      <c r="K48" s="2"/>
      <c r="L48" s="2"/>
      <c r="M48" s="2"/>
      <c r="N48" s="2"/>
      <c r="O48" s="2">
        <f t="shared" si="14"/>
        <v>0.7</v>
      </c>
      <c r="P48" s="2">
        <f t="shared" si="15"/>
        <v>0.7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34748518</v>
      </c>
      <c r="AB48" s="2">
        <f t="shared" si="25"/>
        <v>0.35</v>
      </c>
      <c r="AC48" s="2">
        <f t="shared" si="26"/>
        <v>0.35</v>
      </c>
      <c r="AD48" s="2">
        <f t="shared" si="27"/>
        <v>0</v>
      </c>
      <c r="AE48" s="2">
        <f t="shared" si="28"/>
        <v>0</v>
      </c>
      <c r="AF48" s="2">
        <f t="shared" si="29"/>
        <v>0</v>
      </c>
      <c r="AG48" s="2">
        <f t="shared" si="30"/>
        <v>0</v>
      </c>
      <c r="AH48" s="2">
        <f t="shared" si="31"/>
        <v>0</v>
      </c>
      <c r="AI48" s="2">
        <f t="shared" si="32"/>
        <v>0</v>
      </c>
      <c r="AJ48" s="2">
        <f t="shared" si="33"/>
        <v>0</v>
      </c>
      <c r="AK48" s="2">
        <v>0.35000000000000003</v>
      </c>
      <c r="AL48" s="2">
        <v>0.35000000000000003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0.7</v>
      </c>
      <c r="CQ48" s="2">
        <f t="shared" si="35"/>
        <v>0.35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32</v>
      </c>
      <c r="DW48" s="2" t="s">
        <v>32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74</v>
      </c>
      <c r="EH48" s="2">
        <v>0</v>
      </c>
      <c r="EI48" s="2" t="s">
        <v>3</v>
      </c>
      <c r="EJ48" s="2">
        <v>1</v>
      </c>
      <c r="EK48" s="2">
        <v>1100</v>
      </c>
      <c r="EL48" s="2" t="s">
        <v>75</v>
      </c>
      <c r="EM48" s="2" t="s">
        <v>76</v>
      </c>
      <c r="EN48" s="2"/>
      <c r="EO48" s="2" t="s">
        <v>3</v>
      </c>
      <c r="EP48" s="2"/>
      <c r="EQ48" s="2">
        <v>0</v>
      </c>
      <c r="ER48" s="2">
        <v>0</v>
      </c>
      <c r="ES48" s="2">
        <v>0.35000000000000003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86</v>
      </c>
      <c r="GB48" s="2"/>
      <c r="GC48" s="2"/>
      <c r="GD48" s="2">
        <v>1</v>
      </c>
      <c r="GE48" s="2"/>
      <c r="GF48" s="2">
        <v>-559683454</v>
      </c>
      <c r="GG48" s="2">
        <v>2</v>
      </c>
      <c r="GH48" s="2">
        <v>4</v>
      </c>
      <c r="GI48" s="2">
        <v>-2</v>
      </c>
      <c r="GJ48" s="2">
        <v>0</v>
      </c>
      <c r="GK48" s="2">
        <v>0</v>
      </c>
      <c r="GL48" s="2">
        <f t="shared" si="46"/>
        <v>0</v>
      </c>
      <c r="GM48" s="2">
        <f t="shared" si="47"/>
        <v>0.7</v>
      </c>
      <c r="GN48" s="2">
        <f t="shared" si="48"/>
        <v>0.7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>
        <f t="shared" si="53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>
        <v>-1</v>
      </c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84</v>
      </c>
      <c r="F49" t="str">
        <f>'1.Лок.смета.и.Акт'!B125</f>
        <v>Прайс-лист</v>
      </c>
      <c r="G49" t="str">
        <f>'1.Лок.смета.и.Акт'!C125</f>
        <v>Din-рейка 60 см</v>
      </c>
      <c r="H49" t="s">
        <v>32</v>
      </c>
      <c r="I49">
        <f>'1.Лок.смета.и.Акт'!E125</f>
        <v>2</v>
      </c>
      <c r="J49">
        <v>0</v>
      </c>
      <c r="O49">
        <f t="shared" si="14"/>
        <v>8.75</v>
      </c>
      <c r="P49">
        <f t="shared" si="15"/>
        <v>8.75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34748540</v>
      </c>
      <c r="AB49">
        <f t="shared" si="25"/>
        <v>0.35</v>
      </c>
      <c r="AC49">
        <f t="shared" si="26"/>
        <v>0.35</v>
      </c>
      <c r="AD49">
        <f t="shared" si="27"/>
        <v>0</v>
      </c>
      <c r="AE49">
        <f t="shared" si="28"/>
        <v>0</v>
      </c>
      <c r="AF49">
        <f t="shared" si="29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0.35000000000000003</v>
      </c>
      <c r="AL49" s="106">
        <f>'1.Лок.смета.и.Акт'!F125</f>
        <v>0.35000000000000003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12.5</v>
      </c>
      <c r="BA49">
        <v>1</v>
      </c>
      <c r="BB49">
        <v>1</v>
      </c>
      <c r="BC49">
        <f>'1.Лок.смета.и.Акт'!J125</f>
        <v>12.5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8.75</v>
      </c>
      <c r="CQ49">
        <f t="shared" si="35"/>
        <v>4.375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32</v>
      </c>
      <c r="DW49" t="str">
        <f>'1.Лок.смета.и.Акт'!D125</f>
        <v>ШТ</v>
      </c>
      <c r="DX49">
        <v>1</v>
      </c>
      <c r="EE49">
        <v>32653538</v>
      </c>
      <c r="EF49">
        <v>20</v>
      </c>
      <c r="EG49" t="s">
        <v>74</v>
      </c>
      <c r="EH49">
        <v>0</v>
      </c>
      <c r="EI49" t="s">
        <v>3</v>
      </c>
      <c r="EJ49">
        <v>1</v>
      </c>
      <c r="EK49">
        <v>1100</v>
      </c>
      <c r="EL49" t="s">
        <v>75</v>
      </c>
      <c r="EM49" t="s">
        <v>76</v>
      </c>
      <c r="EO49" t="s">
        <v>3</v>
      </c>
      <c r="EQ49">
        <v>0</v>
      </c>
      <c r="ER49">
        <v>0.57999999999999996</v>
      </c>
      <c r="ES49" s="106">
        <f>'1.Лок.смета.и.Акт'!F125</f>
        <v>0.35000000000000003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4.29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86</v>
      </c>
      <c r="GD49">
        <v>1</v>
      </c>
      <c r="GF49">
        <v>-559683454</v>
      </c>
      <c r="GG49">
        <v>1</v>
      </c>
      <c r="GH49">
        <v>3</v>
      </c>
      <c r="GI49">
        <v>4</v>
      </c>
      <c r="GJ49">
        <v>0</v>
      </c>
      <c r="GK49">
        <v>0</v>
      </c>
      <c r="GL49">
        <f t="shared" si="46"/>
        <v>0</v>
      </c>
      <c r="GM49">
        <f t="shared" si="47"/>
        <v>8.75</v>
      </c>
      <c r="GN49">
        <f t="shared" si="48"/>
        <v>8.75</v>
      </c>
      <c r="GO49">
        <f t="shared" si="49"/>
        <v>0</v>
      </c>
      <c r="GP49">
        <f t="shared" si="50"/>
        <v>0</v>
      </c>
      <c r="GR49">
        <v>1</v>
      </c>
      <c r="GS49">
        <v>1</v>
      </c>
      <c r="GT49">
        <v>0</v>
      </c>
      <c r="GU49" t="s">
        <v>3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HC49">
        <f t="shared" si="53"/>
        <v>0</v>
      </c>
      <c r="IF49">
        <v>-1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87</v>
      </c>
      <c r="F50" s="2" t="s">
        <v>72</v>
      </c>
      <c r="G50" s="2" t="s">
        <v>88</v>
      </c>
      <c r="H50" s="2" t="s">
        <v>32</v>
      </c>
      <c r="I50" s="2">
        <f>'1.Лок.смета.и.Акт'!E128</f>
        <v>1</v>
      </c>
      <c r="J50" s="2">
        <v>0</v>
      </c>
      <c r="K50" s="2"/>
      <c r="L50" s="2"/>
      <c r="M50" s="2"/>
      <c r="N50" s="2"/>
      <c r="O50" s="2">
        <f t="shared" si="14"/>
        <v>81.599999999999994</v>
      </c>
      <c r="P50" s="2">
        <f t="shared" si="15"/>
        <v>81.599999999999994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34748518</v>
      </c>
      <c r="AB50" s="2">
        <f t="shared" si="25"/>
        <v>81.599999999999994</v>
      </c>
      <c r="AC50" s="2">
        <f t="shared" si="26"/>
        <v>81.599999999999994</v>
      </c>
      <c r="AD50" s="2">
        <f t="shared" si="27"/>
        <v>0</v>
      </c>
      <c r="AE50" s="2">
        <f t="shared" si="28"/>
        <v>0</v>
      </c>
      <c r="AF50" s="2">
        <f t="shared" si="29"/>
        <v>0</v>
      </c>
      <c r="AG50" s="2">
        <f t="shared" si="30"/>
        <v>0</v>
      </c>
      <c r="AH50" s="2">
        <f t="shared" si="31"/>
        <v>0</v>
      </c>
      <c r="AI50" s="2">
        <f t="shared" si="32"/>
        <v>0</v>
      </c>
      <c r="AJ50" s="2">
        <f t="shared" si="33"/>
        <v>0</v>
      </c>
      <c r="AK50" s="2">
        <v>81.599999999999994</v>
      </c>
      <c r="AL50" s="2">
        <v>81.599999999999994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81.599999999999994</v>
      </c>
      <c r="CQ50" s="2">
        <f t="shared" si="35"/>
        <v>81.599999999999994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1013</v>
      </c>
      <c r="DV50" s="2" t="s">
        <v>32</v>
      </c>
      <c r="DW50" s="2" t="s">
        <v>32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74</v>
      </c>
      <c r="EH50" s="2">
        <v>0</v>
      </c>
      <c r="EI50" s="2" t="s">
        <v>3</v>
      </c>
      <c r="EJ50" s="2">
        <v>1</v>
      </c>
      <c r="EK50" s="2">
        <v>1100</v>
      </c>
      <c r="EL50" s="2" t="s">
        <v>75</v>
      </c>
      <c r="EM50" s="2" t="s">
        <v>76</v>
      </c>
      <c r="EN50" s="2"/>
      <c r="EO50" s="2" t="s">
        <v>3</v>
      </c>
      <c r="EP50" s="2"/>
      <c r="EQ50" s="2">
        <v>0</v>
      </c>
      <c r="ER50" s="2">
        <v>0</v>
      </c>
      <c r="ES50" s="2">
        <v>81.599999999999994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89</v>
      </c>
      <c r="GB50" s="2"/>
      <c r="GC50" s="2"/>
      <c r="GD50" s="2">
        <v>1</v>
      </c>
      <c r="GE50" s="2"/>
      <c r="GF50" s="2">
        <v>-1857974311</v>
      </c>
      <c r="GG50" s="2">
        <v>2</v>
      </c>
      <c r="GH50" s="2">
        <v>4</v>
      </c>
      <c r="GI50" s="2">
        <v>-2</v>
      </c>
      <c r="GJ50" s="2">
        <v>0</v>
      </c>
      <c r="GK50" s="2">
        <v>0</v>
      </c>
      <c r="GL50" s="2">
        <f t="shared" si="46"/>
        <v>0</v>
      </c>
      <c r="GM50" s="2">
        <f t="shared" si="47"/>
        <v>81.599999999999994</v>
      </c>
      <c r="GN50" s="2">
        <f t="shared" si="48"/>
        <v>81.599999999999994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>
        <f t="shared" si="53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>
        <v>-1</v>
      </c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87</v>
      </c>
      <c r="F51" t="str">
        <f>'1.Лок.смета.и.Акт'!B128</f>
        <v>Прайс-лист</v>
      </c>
      <c r="G51" t="str">
        <f>'1.Лок.смета.и.Акт'!C128</f>
        <v>Преобразователь TVG715 V</v>
      </c>
      <c r="H51" t="s">
        <v>32</v>
      </c>
      <c r="I51">
        <f>'1.Лок.смета.и.Акт'!E128</f>
        <v>1</v>
      </c>
      <c r="J51">
        <v>0</v>
      </c>
      <c r="O51">
        <f t="shared" si="14"/>
        <v>1020</v>
      </c>
      <c r="P51">
        <f t="shared" si="15"/>
        <v>1020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34748540</v>
      </c>
      <c r="AB51">
        <f t="shared" si="25"/>
        <v>81.599999999999994</v>
      </c>
      <c r="AC51">
        <f t="shared" si="26"/>
        <v>81.599999999999994</v>
      </c>
      <c r="AD51">
        <f t="shared" si="27"/>
        <v>0</v>
      </c>
      <c r="AE51">
        <f t="shared" si="28"/>
        <v>0</v>
      </c>
      <c r="AF51">
        <f t="shared" si="29"/>
        <v>0</v>
      </c>
      <c r="AG51">
        <f t="shared" si="30"/>
        <v>0</v>
      </c>
      <c r="AH51">
        <f t="shared" si="31"/>
        <v>0</v>
      </c>
      <c r="AI51">
        <f t="shared" si="32"/>
        <v>0</v>
      </c>
      <c r="AJ51">
        <f t="shared" si="33"/>
        <v>0</v>
      </c>
      <c r="AK51">
        <v>81.599999999999994</v>
      </c>
      <c r="AL51" s="106">
        <f>'1.Лок.смета.и.Акт'!F128</f>
        <v>81.599999999999994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12.5</v>
      </c>
      <c r="BA51">
        <v>1</v>
      </c>
      <c r="BB51">
        <v>1</v>
      </c>
      <c r="BC51">
        <f>'1.Лок.смета.и.Акт'!J128</f>
        <v>12.5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1020</v>
      </c>
      <c r="CQ51">
        <f t="shared" si="35"/>
        <v>1019.9999999999999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32</v>
      </c>
      <c r="DW51" t="str">
        <f>'1.Лок.смета.и.Акт'!D128</f>
        <v>ШТ</v>
      </c>
      <c r="DX51">
        <v>1</v>
      </c>
      <c r="EE51">
        <v>32653538</v>
      </c>
      <c r="EF51">
        <v>20</v>
      </c>
      <c r="EG51" t="s">
        <v>74</v>
      </c>
      <c r="EH51">
        <v>0</v>
      </c>
      <c r="EI51" t="s">
        <v>3</v>
      </c>
      <c r="EJ51">
        <v>1</v>
      </c>
      <c r="EK51">
        <v>1100</v>
      </c>
      <c r="EL51" t="s">
        <v>75</v>
      </c>
      <c r="EM51" t="s">
        <v>76</v>
      </c>
      <c r="EO51" t="s">
        <v>3</v>
      </c>
      <c r="EQ51">
        <v>0</v>
      </c>
      <c r="ER51">
        <v>136</v>
      </c>
      <c r="ES51" s="106">
        <f>'1.Лок.смета.и.Акт'!F128</f>
        <v>81.599999999999994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1000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89</v>
      </c>
      <c r="GD51">
        <v>1</v>
      </c>
      <c r="GF51">
        <v>-1857974311</v>
      </c>
      <c r="GG51">
        <v>1</v>
      </c>
      <c r="GH51">
        <v>3</v>
      </c>
      <c r="GI51">
        <v>4</v>
      </c>
      <c r="GJ51">
        <v>0</v>
      </c>
      <c r="GK51">
        <v>0</v>
      </c>
      <c r="GL51">
        <f t="shared" si="46"/>
        <v>0</v>
      </c>
      <c r="GM51">
        <f t="shared" si="47"/>
        <v>1020</v>
      </c>
      <c r="GN51">
        <f t="shared" si="48"/>
        <v>1020</v>
      </c>
      <c r="GO51">
        <f t="shared" si="49"/>
        <v>0</v>
      </c>
      <c r="GP51">
        <f t="shared" si="50"/>
        <v>0</v>
      </c>
      <c r="GR51">
        <v>1</v>
      </c>
      <c r="GS51">
        <v>1</v>
      </c>
      <c r="GT51">
        <v>0</v>
      </c>
      <c r="GU51" t="s">
        <v>3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HC51">
        <f t="shared" si="53"/>
        <v>0</v>
      </c>
      <c r="IF51">
        <v>-1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90</v>
      </c>
      <c r="F52" s="2" t="s">
        <v>72</v>
      </c>
      <c r="G52" s="2" t="s">
        <v>91</v>
      </c>
      <c r="H52" s="2" t="s">
        <v>32</v>
      </c>
      <c r="I52" s="2">
        <f>'1.Лок.смета.и.Акт'!E131</f>
        <v>1</v>
      </c>
      <c r="J52" s="2">
        <v>0</v>
      </c>
      <c r="K52" s="2"/>
      <c r="L52" s="2"/>
      <c r="M52" s="2"/>
      <c r="N52" s="2"/>
      <c r="O52" s="2">
        <f t="shared" si="14"/>
        <v>16.32</v>
      </c>
      <c r="P52" s="2">
        <f t="shared" si="15"/>
        <v>16.32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34748518</v>
      </c>
      <c r="AB52" s="2">
        <f t="shared" si="25"/>
        <v>16.32</v>
      </c>
      <c r="AC52" s="2">
        <f t="shared" si="26"/>
        <v>16.32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16.32</v>
      </c>
      <c r="AL52" s="2">
        <v>16.32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>
        <v>0</v>
      </c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16.32</v>
      </c>
      <c r="CQ52" s="2">
        <f t="shared" si="35"/>
        <v>16.32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32</v>
      </c>
      <c r="DW52" s="2" t="s">
        <v>32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74</v>
      </c>
      <c r="EH52" s="2">
        <v>0</v>
      </c>
      <c r="EI52" s="2" t="s">
        <v>3</v>
      </c>
      <c r="EJ52" s="2">
        <v>1</v>
      </c>
      <c r="EK52" s="2">
        <v>1100</v>
      </c>
      <c r="EL52" s="2" t="s">
        <v>75</v>
      </c>
      <c r="EM52" s="2" t="s">
        <v>76</v>
      </c>
      <c r="EN52" s="2"/>
      <c r="EO52" s="2" t="s">
        <v>3</v>
      </c>
      <c r="EP52" s="2"/>
      <c r="EQ52" s="2">
        <v>0</v>
      </c>
      <c r="ER52" s="2">
        <v>0</v>
      </c>
      <c r="ES52" s="2">
        <v>16.32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92</v>
      </c>
      <c r="GB52" s="2"/>
      <c r="GC52" s="2"/>
      <c r="GD52" s="2">
        <v>1</v>
      </c>
      <c r="GE52" s="2"/>
      <c r="GF52" s="2">
        <v>1885556746</v>
      </c>
      <c r="GG52" s="2">
        <v>2</v>
      </c>
      <c r="GH52" s="2">
        <v>4</v>
      </c>
      <c r="GI52" s="2">
        <v>-2</v>
      </c>
      <c r="GJ52" s="2">
        <v>0</v>
      </c>
      <c r="GK52" s="2">
        <v>0</v>
      </c>
      <c r="GL52" s="2">
        <f t="shared" si="46"/>
        <v>0</v>
      </c>
      <c r="GM52" s="2">
        <f t="shared" si="47"/>
        <v>16.32</v>
      </c>
      <c r="GN52" s="2">
        <f t="shared" si="48"/>
        <v>16.32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>
        <f t="shared" si="53"/>
        <v>0</v>
      </c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>
        <v>-1</v>
      </c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90</v>
      </c>
      <c r="F53" t="str">
        <f>'1.Лок.смета.и.Акт'!B131</f>
        <v>Прайс-лист</v>
      </c>
      <c r="G53" t="str">
        <f>'1.Лок.смета.и.Акт'!C131</f>
        <v>Преобразователь напряжения PRI-2002</v>
      </c>
      <c r="H53" t="s">
        <v>32</v>
      </c>
      <c r="I53">
        <f>'1.Лок.смета.и.Акт'!E131</f>
        <v>1</v>
      </c>
      <c r="J53">
        <v>0</v>
      </c>
      <c r="O53">
        <f t="shared" si="14"/>
        <v>204</v>
      </c>
      <c r="P53">
        <f t="shared" si="15"/>
        <v>204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34748540</v>
      </c>
      <c r="AB53">
        <f t="shared" si="25"/>
        <v>16.32</v>
      </c>
      <c r="AC53">
        <f t="shared" si="26"/>
        <v>16.32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16.32</v>
      </c>
      <c r="AL53" s="106">
        <f>'1.Лок.смета.и.Акт'!F131</f>
        <v>16.32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12.5</v>
      </c>
      <c r="BA53">
        <v>1</v>
      </c>
      <c r="BB53">
        <v>1</v>
      </c>
      <c r="BC53">
        <f>'1.Лок.смета.и.Акт'!J131</f>
        <v>12.5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204</v>
      </c>
      <c r="CQ53">
        <f t="shared" si="35"/>
        <v>204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32</v>
      </c>
      <c r="DW53" t="str">
        <f>'1.Лок.смета.и.Акт'!D131</f>
        <v>ШТ</v>
      </c>
      <c r="DX53">
        <v>1</v>
      </c>
      <c r="EE53">
        <v>32653538</v>
      </c>
      <c r="EF53">
        <v>20</v>
      </c>
      <c r="EG53" t="s">
        <v>74</v>
      </c>
      <c r="EH53">
        <v>0</v>
      </c>
      <c r="EI53" t="s">
        <v>3</v>
      </c>
      <c r="EJ53">
        <v>1</v>
      </c>
      <c r="EK53">
        <v>1100</v>
      </c>
      <c r="EL53" t="s">
        <v>75</v>
      </c>
      <c r="EM53" t="s">
        <v>76</v>
      </c>
      <c r="EO53" t="s">
        <v>3</v>
      </c>
      <c r="EQ53">
        <v>0</v>
      </c>
      <c r="ER53">
        <v>27.200000000000003</v>
      </c>
      <c r="ES53" s="106">
        <f>'1.Лок.смета.и.Акт'!F131</f>
        <v>16.32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200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92</v>
      </c>
      <c r="GD53">
        <v>1</v>
      </c>
      <c r="GF53">
        <v>1885556746</v>
      </c>
      <c r="GG53">
        <v>1</v>
      </c>
      <c r="GH53">
        <v>3</v>
      </c>
      <c r="GI53">
        <v>4</v>
      </c>
      <c r="GJ53">
        <v>0</v>
      </c>
      <c r="GK53">
        <v>0</v>
      </c>
      <c r="GL53">
        <f t="shared" si="46"/>
        <v>0</v>
      </c>
      <c r="GM53">
        <f t="shared" si="47"/>
        <v>204</v>
      </c>
      <c r="GN53">
        <f t="shared" si="48"/>
        <v>204</v>
      </c>
      <c r="GO53">
        <f t="shared" si="49"/>
        <v>0</v>
      </c>
      <c r="GP53">
        <f t="shared" si="50"/>
        <v>0</v>
      </c>
      <c r="GR53">
        <v>1</v>
      </c>
      <c r="GS53">
        <v>1</v>
      </c>
      <c r="GT53">
        <v>0</v>
      </c>
      <c r="GU53" t="s">
        <v>3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HC53">
        <f t="shared" si="53"/>
        <v>0</v>
      </c>
      <c r="IF53">
        <v>-1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93</v>
      </c>
      <c r="F54" s="2" t="s">
        <v>72</v>
      </c>
      <c r="G54" s="2" t="s">
        <v>94</v>
      </c>
      <c r="H54" s="2" t="s">
        <v>32</v>
      </c>
      <c r="I54" s="2">
        <f>'1.Лок.смета.и.Акт'!E134</f>
        <v>1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34748518</v>
      </c>
      <c r="AB54" s="2">
        <f t="shared" si="25"/>
        <v>0</v>
      </c>
      <c r="AC54" s="2">
        <f t="shared" si="26"/>
        <v>0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>
        <v>0</v>
      </c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32</v>
      </c>
      <c r="DW54" s="2" t="s">
        <v>32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74</v>
      </c>
      <c r="EH54" s="2">
        <v>0</v>
      </c>
      <c r="EI54" s="2" t="s">
        <v>3</v>
      </c>
      <c r="EJ54" s="2">
        <v>1</v>
      </c>
      <c r="EK54" s="2">
        <v>1100</v>
      </c>
      <c r="EL54" s="2" t="s">
        <v>75</v>
      </c>
      <c r="EM54" s="2" t="s">
        <v>76</v>
      </c>
      <c r="EN54" s="2"/>
      <c r="EO54" s="2" t="s">
        <v>3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3</v>
      </c>
      <c r="GB54" s="2"/>
      <c r="GC54" s="2"/>
      <c r="GD54" s="2">
        <v>1</v>
      </c>
      <c r="GE54" s="2"/>
      <c r="GF54" s="2">
        <v>-312324203</v>
      </c>
      <c r="GG54" s="2">
        <v>2</v>
      </c>
      <c r="GH54" s="2">
        <v>0</v>
      </c>
      <c r="GI54" s="2">
        <v>-2</v>
      </c>
      <c r="GJ54" s="2">
        <v>0</v>
      </c>
      <c r="GK54" s="2"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>
        <f t="shared" si="53"/>
        <v>0</v>
      </c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>
        <v>-1</v>
      </c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93</v>
      </c>
      <c r="F55" t="str">
        <f>'1.Лок.смета.и.Акт'!B134</f>
        <v>Прайс-лист</v>
      </c>
      <c r="G55" t="str">
        <f>'1.Лок.смета.и.Акт'!C134</f>
        <v>Модем GSM IRZ ТG21.В</v>
      </c>
      <c r="H55" t="s">
        <v>32</v>
      </c>
      <c r="I55">
        <f>'1.Лок.смета.и.Акт'!E134</f>
        <v>1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34748540</v>
      </c>
      <c r="AB55">
        <f t="shared" si="25"/>
        <v>0</v>
      </c>
      <c r="AC55">
        <f t="shared" si="26"/>
        <v>0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0</v>
      </c>
      <c r="AL55" s="106">
        <f>'1.Лок.смета.и.Акт'!F134</f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12.5</v>
      </c>
      <c r="BA55">
        <v>1</v>
      </c>
      <c r="BB55">
        <v>1</v>
      </c>
      <c r="BC55">
        <f>'1.Лок.смета.и.Акт'!J134</f>
        <v>12.5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0</v>
      </c>
      <c r="CQ55">
        <f t="shared" si="35"/>
        <v>0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32</v>
      </c>
      <c r="DW55" t="str">
        <f>'1.Лок.смета.и.Акт'!D134</f>
        <v>ШТ</v>
      </c>
      <c r="DX55">
        <v>1</v>
      </c>
      <c r="EE55">
        <v>32653538</v>
      </c>
      <c r="EF55">
        <v>20</v>
      </c>
      <c r="EG55" t="s">
        <v>74</v>
      </c>
      <c r="EH55">
        <v>0</v>
      </c>
      <c r="EI55" t="s">
        <v>3</v>
      </c>
      <c r="EJ55">
        <v>1</v>
      </c>
      <c r="EK55">
        <v>1100</v>
      </c>
      <c r="EL55" t="s">
        <v>75</v>
      </c>
      <c r="EM55" t="s">
        <v>76</v>
      </c>
      <c r="EO55" t="s">
        <v>3</v>
      </c>
      <c r="EQ55">
        <v>0</v>
      </c>
      <c r="ER55">
        <v>0</v>
      </c>
      <c r="ES55" s="106">
        <f>'1.Лок.смета.и.Акт'!F134</f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X55">
        <v>0</v>
      </c>
      <c r="FY55">
        <v>0</v>
      </c>
      <c r="GA55" t="s">
        <v>3</v>
      </c>
      <c r="GD55">
        <v>1</v>
      </c>
      <c r="GF55">
        <v>-312324203</v>
      </c>
      <c r="GG55">
        <v>1</v>
      </c>
      <c r="GH55">
        <v>0</v>
      </c>
      <c r="GI55">
        <v>4</v>
      </c>
      <c r="GJ55">
        <v>0</v>
      </c>
      <c r="GK55"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HC55">
        <f t="shared" si="53"/>
        <v>0</v>
      </c>
      <c r="IF55">
        <v>-1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95</v>
      </c>
      <c r="F56" s="2" t="s">
        <v>72</v>
      </c>
      <c r="G56" s="2" t="s">
        <v>96</v>
      </c>
      <c r="H56" s="2" t="s">
        <v>32</v>
      </c>
      <c r="I56" s="2">
        <f>'1.Лок.смета.и.Акт'!E136</f>
        <v>1</v>
      </c>
      <c r="J56" s="2">
        <v>0</v>
      </c>
      <c r="K56" s="2"/>
      <c r="L56" s="2"/>
      <c r="M56" s="2"/>
      <c r="N56" s="2"/>
      <c r="O56" s="2">
        <f t="shared" si="14"/>
        <v>33.06</v>
      </c>
      <c r="P56" s="2">
        <f t="shared" si="15"/>
        <v>33.06</v>
      </c>
      <c r="Q56" s="2">
        <f t="shared" si="16"/>
        <v>0</v>
      </c>
      <c r="R56" s="2">
        <f t="shared" si="17"/>
        <v>0</v>
      </c>
      <c r="S56" s="2">
        <f t="shared" si="18"/>
        <v>0</v>
      </c>
      <c r="T56" s="2">
        <f t="shared" si="19"/>
        <v>0</v>
      </c>
      <c r="U56" s="2">
        <f t="shared" si="20"/>
        <v>0</v>
      </c>
      <c r="V56" s="2">
        <f t="shared" si="21"/>
        <v>0</v>
      </c>
      <c r="W56" s="2">
        <f t="shared" si="22"/>
        <v>0</v>
      </c>
      <c r="X56" s="2">
        <f t="shared" si="23"/>
        <v>0</v>
      </c>
      <c r="Y56" s="2">
        <f t="shared" si="24"/>
        <v>0</v>
      </c>
      <c r="Z56" s="2"/>
      <c r="AA56" s="2">
        <v>34748518</v>
      </c>
      <c r="AB56" s="2">
        <f t="shared" si="25"/>
        <v>33.06</v>
      </c>
      <c r="AC56" s="2">
        <f t="shared" si="26"/>
        <v>33.06</v>
      </c>
      <c r="AD56" s="2">
        <f t="shared" si="27"/>
        <v>0</v>
      </c>
      <c r="AE56" s="2">
        <f t="shared" si="28"/>
        <v>0</v>
      </c>
      <c r="AF56" s="2">
        <f t="shared" si="29"/>
        <v>0</v>
      </c>
      <c r="AG56" s="2">
        <f t="shared" si="30"/>
        <v>0</v>
      </c>
      <c r="AH56" s="2">
        <f t="shared" si="31"/>
        <v>0</v>
      </c>
      <c r="AI56" s="2">
        <f t="shared" si="32"/>
        <v>0</v>
      </c>
      <c r="AJ56" s="2">
        <f t="shared" si="33"/>
        <v>0</v>
      </c>
      <c r="AK56" s="2">
        <v>33.059999999999995</v>
      </c>
      <c r="AL56" s="2">
        <v>33.059999999999995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>
        <v>0</v>
      </c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4"/>
        <v>33.06</v>
      </c>
      <c r="CQ56" s="2">
        <f t="shared" si="35"/>
        <v>33.06</v>
      </c>
      <c r="CR56" s="2">
        <f t="shared" si="36"/>
        <v>0</v>
      </c>
      <c r="CS56" s="2">
        <f t="shared" si="37"/>
        <v>0</v>
      </c>
      <c r="CT56" s="2">
        <f t="shared" si="38"/>
        <v>0</v>
      </c>
      <c r="CU56" s="2">
        <f t="shared" si="39"/>
        <v>0</v>
      </c>
      <c r="CV56" s="2">
        <f t="shared" si="40"/>
        <v>0</v>
      </c>
      <c r="CW56" s="2">
        <f t="shared" si="41"/>
        <v>0</v>
      </c>
      <c r="CX56" s="2">
        <f t="shared" si="42"/>
        <v>0</v>
      </c>
      <c r="CY56" s="2">
        <f t="shared" si="43"/>
        <v>0</v>
      </c>
      <c r="CZ56" s="2">
        <f t="shared" si="44"/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32</v>
      </c>
      <c r="DW56" s="2" t="s">
        <v>32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74</v>
      </c>
      <c r="EH56" s="2">
        <v>0</v>
      </c>
      <c r="EI56" s="2" t="s">
        <v>3</v>
      </c>
      <c r="EJ56" s="2">
        <v>1</v>
      </c>
      <c r="EK56" s="2">
        <v>1100</v>
      </c>
      <c r="EL56" s="2" t="s">
        <v>75</v>
      </c>
      <c r="EM56" s="2" t="s">
        <v>76</v>
      </c>
      <c r="EN56" s="2"/>
      <c r="EO56" s="2" t="s">
        <v>3</v>
      </c>
      <c r="EP56" s="2"/>
      <c r="EQ56" s="2">
        <v>0</v>
      </c>
      <c r="ER56" s="2">
        <v>0</v>
      </c>
      <c r="ES56" s="2">
        <v>33.059999999999995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5"/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97</v>
      </c>
      <c r="GB56" s="2"/>
      <c r="GC56" s="2"/>
      <c r="GD56" s="2">
        <v>1</v>
      </c>
      <c r="GE56" s="2"/>
      <c r="GF56" s="2">
        <v>419270619</v>
      </c>
      <c r="GG56" s="2">
        <v>2</v>
      </c>
      <c r="GH56" s="2">
        <v>4</v>
      </c>
      <c r="GI56" s="2">
        <v>-2</v>
      </c>
      <c r="GJ56" s="2">
        <v>0</v>
      </c>
      <c r="GK56" s="2">
        <v>0</v>
      </c>
      <c r="GL56" s="2">
        <f t="shared" si="46"/>
        <v>0</v>
      </c>
      <c r="GM56" s="2">
        <f t="shared" si="47"/>
        <v>33.06</v>
      </c>
      <c r="GN56" s="2">
        <f t="shared" si="48"/>
        <v>33.06</v>
      </c>
      <c r="GO56" s="2">
        <f t="shared" si="49"/>
        <v>0</v>
      </c>
      <c r="GP56" s="2">
        <f t="shared" si="50"/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si="51"/>
        <v>0</v>
      </c>
      <c r="GW56" s="2">
        <v>1</v>
      </c>
      <c r="GX56" s="2">
        <f t="shared" si="52"/>
        <v>0</v>
      </c>
      <c r="GY56" s="2"/>
      <c r="GZ56" s="2"/>
      <c r="HA56" s="2">
        <v>0</v>
      </c>
      <c r="HB56" s="2">
        <v>0</v>
      </c>
      <c r="HC56" s="2">
        <f t="shared" si="53"/>
        <v>0</v>
      </c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>
        <v>-1</v>
      </c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95</v>
      </c>
      <c r="F57" t="str">
        <f>'1.Лок.смета.и.Акт'!B136</f>
        <v>Прайс-лист</v>
      </c>
      <c r="G57" t="str">
        <f>'1.Лок.смета.и.Акт'!C136</f>
        <v>Модем USB 4G Huawei E3372H</v>
      </c>
      <c r="H57" t="s">
        <v>32</v>
      </c>
      <c r="I57">
        <f>'1.Лок.смета.и.Акт'!E136</f>
        <v>1</v>
      </c>
      <c r="J57">
        <v>0</v>
      </c>
      <c r="O57">
        <f t="shared" si="14"/>
        <v>413.25</v>
      </c>
      <c r="P57">
        <f t="shared" si="15"/>
        <v>413.25</v>
      </c>
      <c r="Q57">
        <f t="shared" si="16"/>
        <v>0</v>
      </c>
      <c r="R57">
        <f t="shared" si="17"/>
        <v>0</v>
      </c>
      <c r="S57">
        <f t="shared" si="18"/>
        <v>0</v>
      </c>
      <c r="T57">
        <f t="shared" si="19"/>
        <v>0</v>
      </c>
      <c r="U57">
        <f t="shared" si="20"/>
        <v>0</v>
      </c>
      <c r="V57">
        <f t="shared" si="21"/>
        <v>0</v>
      </c>
      <c r="W57">
        <f t="shared" si="22"/>
        <v>0</v>
      </c>
      <c r="X57">
        <f t="shared" si="23"/>
        <v>0</v>
      </c>
      <c r="Y57">
        <f t="shared" si="24"/>
        <v>0</v>
      </c>
      <c r="AA57">
        <v>34748540</v>
      </c>
      <c r="AB57">
        <f t="shared" si="25"/>
        <v>33.06</v>
      </c>
      <c r="AC57">
        <f t="shared" si="26"/>
        <v>33.06</v>
      </c>
      <c r="AD57">
        <f t="shared" si="27"/>
        <v>0</v>
      </c>
      <c r="AE57">
        <f t="shared" si="28"/>
        <v>0</v>
      </c>
      <c r="AF57">
        <f t="shared" si="29"/>
        <v>0</v>
      </c>
      <c r="AG57">
        <f t="shared" si="30"/>
        <v>0</v>
      </c>
      <c r="AH57">
        <f t="shared" si="31"/>
        <v>0</v>
      </c>
      <c r="AI57">
        <f t="shared" si="32"/>
        <v>0</v>
      </c>
      <c r="AJ57">
        <f t="shared" si="33"/>
        <v>0</v>
      </c>
      <c r="AK57">
        <v>33.059999999999995</v>
      </c>
      <c r="AL57" s="106">
        <f>'1.Лок.смета.и.Акт'!F136</f>
        <v>33.059999999999995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12.5</v>
      </c>
      <c r="BA57">
        <v>1</v>
      </c>
      <c r="BB57">
        <v>1</v>
      </c>
      <c r="BC57">
        <f>'1.Лок.смета.и.Акт'!J136</f>
        <v>12.5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34"/>
        <v>413.25</v>
      </c>
      <c r="CQ57">
        <f t="shared" si="35"/>
        <v>413.25</v>
      </c>
      <c r="CR57">
        <f t="shared" si="36"/>
        <v>0</v>
      </c>
      <c r="CS57">
        <f t="shared" si="37"/>
        <v>0</v>
      </c>
      <c r="CT57">
        <f t="shared" si="38"/>
        <v>0</v>
      </c>
      <c r="CU57">
        <f t="shared" si="39"/>
        <v>0</v>
      </c>
      <c r="CV57">
        <f t="shared" si="40"/>
        <v>0</v>
      </c>
      <c r="CW57">
        <f t="shared" si="41"/>
        <v>0</v>
      </c>
      <c r="CX57">
        <f t="shared" si="42"/>
        <v>0</v>
      </c>
      <c r="CY57">
        <f t="shared" si="43"/>
        <v>0</v>
      </c>
      <c r="CZ57">
        <f t="shared" si="44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32</v>
      </c>
      <c r="DW57" t="str">
        <f>'1.Лок.смета.и.Акт'!D136</f>
        <v>ШТ</v>
      </c>
      <c r="DX57">
        <v>1</v>
      </c>
      <c r="EE57">
        <v>32653538</v>
      </c>
      <c r="EF57">
        <v>20</v>
      </c>
      <c r="EG57" t="s">
        <v>74</v>
      </c>
      <c r="EH57">
        <v>0</v>
      </c>
      <c r="EI57" t="s">
        <v>3</v>
      </c>
      <c r="EJ57">
        <v>1</v>
      </c>
      <c r="EK57">
        <v>1100</v>
      </c>
      <c r="EL57" t="s">
        <v>75</v>
      </c>
      <c r="EM57" t="s">
        <v>76</v>
      </c>
      <c r="EO57" t="s">
        <v>3</v>
      </c>
      <c r="EQ57">
        <v>0</v>
      </c>
      <c r="ER57">
        <v>55.089999999999996</v>
      </c>
      <c r="ES57" s="106">
        <f>'1.Лок.смета.и.Акт'!F136</f>
        <v>33.059999999999995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405.07</v>
      </c>
      <c r="FQ57">
        <v>0</v>
      </c>
      <c r="FR57">
        <f t="shared" si="45"/>
        <v>0</v>
      </c>
      <c r="FS57">
        <v>0</v>
      </c>
      <c r="FX57">
        <v>0</v>
      </c>
      <c r="FY57">
        <v>0</v>
      </c>
      <c r="GA57" t="s">
        <v>97</v>
      </c>
      <c r="GD57">
        <v>1</v>
      </c>
      <c r="GF57">
        <v>419270619</v>
      </c>
      <c r="GG57">
        <v>1</v>
      </c>
      <c r="GH57">
        <v>3</v>
      </c>
      <c r="GI57">
        <v>4</v>
      </c>
      <c r="GJ57">
        <v>0</v>
      </c>
      <c r="GK57">
        <v>0</v>
      </c>
      <c r="GL57">
        <f t="shared" si="46"/>
        <v>0</v>
      </c>
      <c r="GM57">
        <f t="shared" si="47"/>
        <v>413.25</v>
      </c>
      <c r="GN57">
        <f t="shared" si="48"/>
        <v>413.25</v>
      </c>
      <c r="GO57">
        <f t="shared" si="49"/>
        <v>0</v>
      </c>
      <c r="GP57">
        <f t="shared" si="50"/>
        <v>0</v>
      </c>
      <c r="GR57">
        <v>1</v>
      </c>
      <c r="GS57">
        <v>1</v>
      </c>
      <c r="GT57">
        <v>0</v>
      </c>
      <c r="GU57" t="s">
        <v>3</v>
      </c>
      <c r="GV57">
        <f t="shared" si="51"/>
        <v>0</v>
      </c>
      <c r="GW57">
        <v>1</v>
      </c>
      <c r="GX57">
        <f t="shared" si="52"/>
        <v>0</v>
      </c>
      <c r="HA57">
        <v>0</v>
      </c>
      <c r="HB57">
        <v>0</v>
      </c>
      <c r="HC57">
        <f t="shared" si="53"/>
        <v>0</v>
      </c>
      <c r="IF57">
        <v>-1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98</v>
      </c>
      <c r="F58" s="2" t="s">
        <v>72</v>
      </c>
      <c r="G58" s="2" t="s">
        <v>99</v>
      </c>
      <c r="H58" s="2" t="s">
        <v>32</v>
      </c>
      <c r="I58" s="2">
        <f>'1.Лок.смета.и.Акт'!E139</f>
        <v>1</v>
      </c>
      <c r="J58" s="2">
        <v>0</v>
      </c>
      <c r="K58" s="2"/>
      <c r="L58" s="2"/>
      <c r="M58" s="2"/>
      <c r="N58" s="2"/>
      <c r="O58" s="2">
        <f t="shared" si="14"/>
        <v>10.83</v>
      </c>
      <c r="P58" s="2">
        <f t="shared" si="15"/>
        <v>10.83</v>
      </c>
      <c r="Q58" s="2">
        <f t="shared" si="16"/>
        <v>0</v>
      </c>
      <c r="R58" s="2">
        <f t="shared" si="17"/>
        <v>0</v>
      </c>
      <c r="S58" s="2">
        <f t="shared" si="18"/>
        <v>0</v>
      </c>
      <c r="T58" s="2">
        <f t="shared" si="19"/>
        <v>0</v>
      </c>
      <c r="U58" s="2">
        <f t="shared" si="20"/>
        <v>0</v>
      </c>
      <c r="V58" s="2">
        <f t="shared" si="21"/>
        <v>0</v>
      </c>
      <c r="W58" s="2">
        <f t="shared" si="22"/>
        <v>0</v>
      </c>
      <c r="X58" s="2">
        <f t="shared" si="23"/>
        <v>0</v>
      </c>
      <c r="Y58" s="2">
        <f t="shared" si="24"/>
        <v>0</v>
      </c>
      <c r="Z58" s="2"/>
      <c r="AA58" s="2">
        <v>34748518</v>
      </c>
      <c r="AB58" s="2">
        <f t="shared" si="25"/>
        <v>10.83</v>
      </c>
      <c r="AC58" s="2">
        <f t="shared" si="26"/>
        <v>10.83</v>
      </c>
      <c r="AD58" s="2">
        <f t="shared" si="27"/>
        <v>0</v>
      </c>
      <c r="AE58" s="2">
        <f t="shared" si="28"/>
        <v>0</v>
      </c>
      <c r="AF58" s="2">
        <f t="shared" si="29"/>
        <v>0</v>
      </c>
      <c r="AG58" s="2">
        <f t="shared" si="30"/>
        <v>0</v>
      </c>
      <c r="AH58" s="2">
        <f t="shared" si="31"/>
        <v>0</v>
      </c>
      <c r="AI58" s="2">
        <f t="shared" si="32"/>
        <v>0</v>
      </c>
      <c r="AJ58" s="2">
        <f t="shared" si="33"/>
        <v>0</v>
      </c>
      <c r="AK58" s="2">
        <v>10.83</v>
      </c>
      <c r="AL58" s="2">
        <v>10.83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>
        <v>0</v>
      </c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34"/>
        <v>10.83</v>
      </c>
      <c r="CQ58" s="2">
        <f t="shared" si="35"/>
        <v>10.83</v>
      </c>
      <c r="CR58" s="2">
        <f t="shared" si="36"/>
        <v>0</v>
      </c>
      <c r="CS58" s="2">
        <f t="shared" si="37"/>
        <v>0</v>
      </c>
      <c r="CT58" s="2">
        <f t="shared" si="38"/>
        <v>0</v>
      </c>
      <c r="CU58" s="2">
        <f t="shared" si="39"/>
        <v>0</v>
      </c>
      <c r="CV58" s="2">
        <f t="shared" si="40"/>
        <v>0</v>
      </c>
      <c r="CW58" s="2">
        <f t="shared" si="41"/>
        <v>0</v>
      </c>
      <c r="CX58" s="2">
        <f t="shared" si="42"/>
        <v>0</v>
      </c>
      <c r="CY58" s="2">
        <f t="shared" si="43"/>
        <v>0</v>
      </c>
      <c r="CZ58" s="2">
        <f t="shared" si="44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32</v>
      </c>
      <c r="DW58" s="2" t="s">
        <v>32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74</v>
      </c>
      <c r="EH58" s="2">
        <v>0</v>
      </c>
      <c r="EI58" s="2" t="s">
        <v>3</v>
      </c>
      <c r="EJ58" s="2">
        <v>1</v>
      </c>
      <c r="EK58" s="2">
        <v>1100</v>
      </c>
      <c r="EL58" s="2" t="s">
        <v>75</v>
      </c>
      <c r="EM58" s="2" t="s">
        <v>76</v>
      </c>
      <c r="EN58" s="2"/>
      <c r="EO58" s="2" t="s">
        <v>3</v>
      </c>
      <c r="EP58" s="2"/>
      <c r="EQ58" s="2">
        <v>0</v>
      </c>
      <c r="ER58" s="2">
        <v>0</v>
      </c>
      <c r="ES58" s="2">
        <v>10.83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100</v>
      </c>
      <c r="GB58" s="2"/>
      <c r="GC58" s="2"/>
      <c r="GD58" s="2">
        <v>1</v>
      </c>
      <c r="GE58" s="2"/>
      <c r="GF58" s="2">
        <v>977694604</v>
      </c>
      <c r="GG58" s="2">
        <v>2</v>
      </c>
      <c r="GH58" s="2">
        <v>4</v>
      </c>
      <c r="GI58" s="2">
        <v>-2</v>
      </c>
      <c r="GJ58" s="2">
        <v>0</v>
      </c>
      <c r="GK58" s="2">
        <v>0</v>
      </c>
      <c r="GL58" s="2">
        <f t="shared" si="46"/>
        <v>0</v>
      </c>
      <c r="GM58" s="2">
        <f t="shared" si="47"/>
        <v>10.83</v>
      </c>
      <c r="GN58" s="2">
        <f t="shared" si="48"/>
        <v>10.83</v>
      </c>
      <c r="GO58" s="2">
        <f t="shared" si="49"/>
        <v>0</v>
      </c>
      <c r="GP58" s="2">
        <f t="shared" si="50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51"/>
        <v>0</v>
      </c>
      <c r="GW58" s="2">
        <v>1</v>
      </c>
      <c r="GX58" s="2">
        <f t="shared" si="52"/>
        <v>0</v>
      </c>
      <c r="GY58" s="2"/>
      <c r="GZ58" s="2"/>
      <c r="HA58" s="2">
        <v>0</v>
      </c>
      <c r="HB58" s="2">
        <v>0</v>
      </c>
      <c r="HC58" s="2">
        <f t="shared" si="53"/>
        <v>0</v>
      </c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>
        <v>-1</v>
      </c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98</v>
      </c>
      <c r="F59" t="str">
        <f>'1.Лок.смета.и.Акт'!B139</f>
        <v>Прайс-лист</v>
      </c>
      <c r="G59" t="str">
        <f>'1.Лок.смета.и.Акт'!C139</f>
        <v>Блок питания DR15-12</v>
      </c>
      <c r="H59" t="s">
        <v>32</v>
      </c>
      <c r="I59">
        <f>'1.Лок.смета.и.Акт'!E139</f>
        <v>1</v>
      </c>
      <c r="J59">
        <v>0</v>
      </c>
      <c r="O59">
        <f t="shared" si="14"/>
        <v>135.38</v>
      </c>
      <c r="P59">
        <f t="shared" si="15"/>
        <v>135.38</v>
      </c>
      <c r="Q59">
        <f t="shared" si="16"/>
        <v>0</v>
      </c>
      <c r="R59">
        <f t="shared" si="17"/>
        <v>0</v>
      </c>
      <c r="S59">
        <f t="shared" si="18"/>
        <v>0</v>
      </c>
      <c r="T59">
        <f t="shared" si="19"/>
        <v>0</v>
      </c>
      <c r="U59">
        <f t="shared" si="20"/>
        <v>0</v>
      </c>
      <c r="V59">
        <f t="shared" si="21"/>
        <v>0</v>
      </c>
      <c r="W59">
        <f t="shared" si="22"/>
        <v>0</v>
      </c>
      <c r="X59">
        <f t="shared" si="23"/>
        <v>0</v>
      </c>
      <c r="Y59">
        <f t="shared" si="24"/>
        <v>0</v>
      </c>
      <c r="AA59">
        <v>34748540</v>
      </c>
      <c r="AB59">
        <f t="shared" si="25"/>
        <v>10.83</v>
      </c>
      <c r="AC59">
        <f t="shared" si="26"/>
        <v>10.83</v>
      </c>
      <c r="AD59">
        <f t="shared" si="27"/>
        <v>0</v>
      </c>
      <c r="AE59">
        <f t="shared" si="28"/>
        <v>0</v>
      </c>
      <c r="AF59">
        <f t="shared" si="29"/>
        <v>0</v>
      </c>
      <c r="AG59">
        <f t="shared" si="30"/>
        <v>0</v>
      </c>
      <c r="AH59">
        <f t="shared" si="31"/>
        <v>0</v>
      </c>
      <c r="AI59">
        <f t="shared" si="32"/>
        <v>0</v>
      </c>
      <c r="AJ59">
        <f t="shared" si="33"/>
        <v>0</v>
      </c>
      <c r="AK59">
        <v>10.83</v>
      </c>
      <c r="AL59" s="106">
        <f>'1.Лок.смета.и.Акт'!F139</f>
        <v>10.83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12.5</v>
      </c>
      <c r="BA59">
        <v>1</v>
      </c>
      <c r="BB59">
        <v>1</v>
      </c>
      <c r="BC59">
        <f>'1.Лок.смета.и.Акт'!J139</f>
        <v>12.5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34"/>
        <v>135.38</v>
      </c>
      <c r="CQ59">
        <f t="shared" si="35"/>
        <v>135.375</v>
      </c>
      <c r="CR59">
        <f t="shared" si="36"/>
        <v>0</v>
      </c>
      <c r="CS59">
        <f t="shared" si="37"/>
        <v>0</v>
      </c>
      <c r="CT59">
        <f t="shared" si="38"/>
        <v>0</v>
      </c>
      <c r="CU59">
        <f t="shared" si="39"/>
        <v>0</v>
      </c>
      <c r="CV59">
        <f t="shared" si="40"/>
        <v>0</v>
      </c>
      <c r="CW59">
        <f t="shared" si="41"/>
        <v>0</v>
      </c>
      <c r="CX59">
        <f t="shared" si="42"/>
        <v>0</v>
      </c>
      <c r="CY59">
        <f t="shared" si="43"/>
        <v>0</v>
      </c>
      <c r="CZ59">
        <f t="shared" si="44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32</v>
      </c>
      <c r="DW59" t="str">
        <f>'1.Лок.смета.и.Акт'!D139</f>
        <v>ШТ</v>
      </c>
      <c r="DX59">
        <v>1</v>
      </c>
      <c r="EE59">
        <v>32653538</v>
      </c>
      <c r="EF59">
        <v>20</v>
      </c>
      <c r="EG59" t="s">
        <v>74</v>
      </c>
      <c r="EH59">
        <v>0</v>
      </c>
      <c r="EI59" t="s">
        <v>3</v>
      </c>
      <c r="EJ59">
        <v>1</v>
      </c>
      <c r="EK59">
        <v>1100</v>
      </c>
      <c r="EL59" t="s">
        <v>75</v>
      </c>
      <c r="EM59" t="s">
        <v>76</v>
      </c>
      <c r="EO59" t="s">
        <v>3</v>
      </c>
      <c r="EQ59">
        <v>0</v>
      </c>
      <c r="ER59">
        <v>18.060000000000002</v>
      </c>
      <c r="ES59" s="106">
        <f>'1.Лок.смета.и.Акт'!F139</f>
        <v>10.83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132.80000000000001</v>
      </c>
      <c r="FQ59">
        <v>0</v>
      </c>
      <c r="FR59">
        <f t="shared" si="45"/>
        <v>0</v>
      </c>
      <c r="FS59">
        <v>0</v>
      </c>
      <c r="FX59">
        <v>0</v>
      </c>
      <c r="FY59">
        <v>0</v>
      </c>
      <c r="GA59" t="s">
        <v>100</v>
      </c>
      <c r="GD59">
        <v>1</v>
      </c>
      <c r="GF59">
        <v>977694604</v>
      </c>
      <c r="GG59">
        <v>1</v>
      </c>
      <c r="GH59">
        <v>3</v>
      </c>
      <c r="GI59">
        <v>4</v>
      </c>
      <c r="GJ59">
        <v>0</v>
      </c>
      <c r="GK59">
        <v>0</v>
      </c>
      <c r="GL59">
        <f t="shared" si="46"/>
        <v>0</v>
      </c>
      <c r="GM59">
        <f t="shared" si="47"/>
        <v>135.38</v>
      </c>
      <c r="GN59">
        <f t="shared" si="48"/>
        <v>135.38</v>
      </c>
      <c r="GO59">
        <f t="shared" si="49"/>
        <v>0</v>
      </c>
      <c r="GP59">
        <f t="shared" si="50"/>
        <v>0</v>
      </c>
      <c r="GR59">
        <v>1</v>
      </c>
      <c r="GS59">
        <v>1</v>
      </c>
      <c r="GT59">
        <v>0</v>
      </c>
      <c r="GU59" t="s">
        <v>3</v>
      </c>
      <c r="GV59">
        <f t="shared" si="51"/>
        <v>0</v>
      </c>
      <c r="GW59">
        <v>1</v>
      </c>
      <c r="GX59">
        <f t="shared" si="52"/>
        <v>0</v>
      </c>
      <c r="HA59">
        <v>0</v>
      </c>
      <c r="HB59">
        <v>0</v>
      </c>
      <c r="HC59">
        <f t="shared" si="53"/>
        <v>0</v>
      </c>
      <c r="IF59">
        <v>-1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101</v>
      </c>
      <c r="F60" s="2" t="s">
        <v>72</v>
      </c>
      <c r="G60" s="2" t="s">
        <v>102</v>
      </c>
      <c r="H60" s="2" t="s">
        <v>32</v>
      </c>
      <c r="I60" s="2">
        <f>'1.Лок.смета.и.Акт'!E142</f>
        <v>1</v>
      </c>
      <c r="J60" s="2">
        <v>0</v>
      </c>
      <c r="K60" s="2"/>
      <c r="L60" s="2"/>
      <c r="M60" s="2"/>
      <c r="N60" s="2"/>
      <c r="O60" s="2">
        <f t="shared" si="14"/>
        <v>27.87</v>
      </c>
      <c r="P60" s="2">
        <f t="shared" si="15"/>
        <v>27.87</v>
      </c>
      <c r="Q60" s="2">
        <f t="shared" si="16"/>
        <v>0</v>
      </c>
      <c r="R60" s="2">
        <f t="shared" si="17"/>
        <v>0</v>
      </c>
      <c r="S60" s="2">
        <f t="shared" si="18"/>
        <v>0</v>
      </c>
      <c r="T60" s="2">
        <f t="shared" si="19"/>
        <v>0</v>
      </c>
      <c r="U60" s="2">
        <f t="shared" si="20"/>
        <v>0</v>
      </c>
      <c r="V60" s="2">
        <f t="shared" si="21"/>
        <v>0</v>
      </c>
      <c r="W60" s="2">
        <f t="shared" si="22"/>
        <v>0</v>
      </c>
      <c r="X60" s="2">
        <f t="shared" si="23"/>
        <v>0</v>
      </c>
      <c r="Y60" s="2">
        <f t="shared" si="24"/>
        <v>0</v>
      </c>
      <c r="Z60" s="2"/>
      <c r="AA60" s="2">
        <v>34748518</v>
      </c>
      <c r="AB60" s="2">
        <f t="shared" si="25"/>
        <v>27.87</v>
      </c>
      <c r="AC60" s="2">
        <f t="shared" si="26"/>
        <v>27.87</v>
      </c>
      <c r="AD60" s="2">
        <f t="shared" si="27"/>
        <v>0</v>
      </c>
      <c r="AE60" s="2">
        <f t="shared" si="28"/>
        <v>0</v>
      </c>
      <c r="AF60" s="2">
        <f t="shared" si="29"/>
        <v>0</v>
      </c>
      <c r="AG60" s="2">
        <f t="shared" si="30"/>
        <v>0</v>
      </c>
      <c r="AH60" s="2">
        <f t="shared" si="31"/>
        <v>0</v>
      </c>
      <c r="AI60" s="2">
        <f t="shared" si="32"/>
        <v>0</v>
      </c>
      <c r="AJ60" s="2">
        <f t="shared" si="33"/>
        <v>0</v>
      </c>
      <c r="AK60" s="2">
        <v>27.87</v>
      </c>
      <c r="AL60" s="2">
        <v>27.87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>
        <v>0</v>
      </c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4"/>
        <v>27.87</v>
      </c>
      <c r="CQ60" s="2">
        <f t="shared" si="35"/>
        <v>27.87</v>
      </c>
      <c r="CR60" s="2">
        <f t="shared" si="36"/>
        <v>0</v>
      </c>
      <c r="CS60" s="2">
        <f t="shared" si="37"/>
        <v>0</v>
      </c>
      <c r="CT60" s="2">
        <f t="shared" si="38"/>
        <v>0</v>
      </c>
      <c r="CU60" s="2">
        <f t="shared" si="39"/>
        <v>0</v>
      </c>
      <c r="CV60" s="2">
        <f t="shared" si="40"/>
        <v>0</v>
      </c>
      <c r="CW60" s="2">
        <f t="shared" si="41"/>
        <v>0</v>
      </c>
      <c r="CX60" s="2">
        <f t="shared" si="42"/>
        <v>0</v>
      </c>
      <c r="CY60" s="2">
        <f t="shared" si="43"/>
        <v>0</v>
      </c>
      <c r="CZ60" s="2">
        <f t="shared" si="44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32</v>
      </c>
      <c r="DW60" s="2" t="s">
        <v>32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74</v>
      </c>
      <c r="EH60" s="2">
        <v>0</v>
      </c>
      <c r="EI60" s="2" t="s">
        <v>3</v>
      </c>
      <c r="EJ60" s="2">
        <v>1</v>
      </c>
      <c r="EK60" s="2">
        <v>1100</v>
      </c>
      <c r="EL60" s="2" t="s">
        <v>75</v>
      </c>
      <c r="EM60" s="2" t="s">
        <v>76</v>
      </c>
      <c r="EN60" s="2"/>
      <c r="EO60" s="2" t="s">
        <v>3</v>
      </c>
      <c r="EP60" s="2"/>
      <c r="EQ60" s="2">
        <v>0</v>
      </c>
      <c r="ER60" s="2">
        <v>0</v>
      </c>
      <c r="ES60" s="2">
        <v>27.87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103</v>
      </c>
      <c r="GB60" s="2"/>
      <c r="GC60" s="2"/>
      <c r="GD60" s="2">
        <v>1</v>
      </c>
      <c r="GE60" s="2"/>
      <c r="GF60" s="2">
        <v>1231875480</v>
      </c>
      <c r="GG60" s="2">
        <v>2</v>
      </c>
      <c r="GH60" s="2">
        <v>4</v>
      </c>
      <c r="GI60" s="2">
        <v>-2</v>
      </c>
      <c r="GJ60" s="2">
        <v>0</v>
      </c>
      <c r="GK60" s="2">
        <v>0</v>
      </c>
      <c r="GL60" s="2">
        <f t="shared" si="46"/>
        <v>0</v>
      </c>
      <c r="GM60" s="2">
        <f t="shared" si="47"/>
        <v>27.87</v>
      </c>
      <c r="GN60" s="2">
        <f t="shared" si="48"/>
        <v>27.87</v>
      </c>
      <c r="GO60" s="2">
        <f t="shared" si="49"/>
        <v>0</v>
      </c>
      <c r="GP60" s="2">
        <f t="shared" si="50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51"/>
        <v>0</v>
      </c>
      <c r="GW60" s="2">
        <v>1</v>
      </c>
      <c r="GX60" s="2">
        <f t="shared" si="52"/>
        <v>0</v>
      </c>
      <c r="GY60" s="2"/>
      <c r="GZ60" s="2"/>
      <c r="HA60" s="2">
        <v>0</v>
      </c>
      <c r="HB60" s="2">
        <v>0</v>
      </c>
      <c r="HC60" s="2">
        <f t="shared" si="53"/>
        <v>0</v>
      </c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>
        <v>-1</v>
      </c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101</v>
      </c>
      <c r="F61" t="str">
        <f>'1.Лок.смета.и.Акт'!B142</f>
        <v>Прайс-лист</v>
      </c>
      <c r="G61" t="str">
        <f>'1.Лок.смета.и.Акт'!C142</f>
        <v>Коммутатор Mikrotik mAP RBmAP2nD</v>
      </c>
      <c r="H61" t="s">
        <v>32</v>
      </c>
      <c r="I61">
        <f>'1.Лок.смета.и.Акт'!E142</f>
        <v>1</v>
      </c>
      <c r="J61">
        <v>0</v>
      </c>
      <c r="O61">
        <f t="shared" si="14"/>
        <v>348.38</v>
      </c>
      <c r="P61">
        <f t="shared" si="15"/>
        <v>348.38</v>
      </c>
      <c r="Q61">
        <f t="shared" si="16"/>
        <v>0</v>
      </c>
      <c r="R61">
        <f t="shared" si="17"/>
        <v>0</v>
      </c>
      <c r="S61">
        <f t="shared" si="18"/>
        <v>0</v>
      </c>
      <c r="T61">
        <f t="shared" si="19"/>
        <v>0</v>
      </c>
      <c r="U61">
        <f t="shared" si="20"/>
        <v>0</v>
      </c>
      <c r="V61">
        <f t="shared" si="21"/>
        <v>0</v>
      </c>
      <c r="W61">
        <f t="shared" si="22"/>
        <v>0</v>
      </c>
      <c r="X61">
        <f t="shared" si="23"/>
        <v>0</v>
      </c>
      <c r="Y61">
        <f t="shared" si="24"/>
        <v>0</v>
      </c>
      <c r="AA61">
        <v>34748540</v>
      </c>
      <c r="AB61">
        <f t="shared" si="25"/>
        <v>27.87</v>
      </c>
      <c r="AC61">
        <f t="shared" si="26"/>
        <v>27.87</v>
      </c>
      <c r="AD61">
        <f t="shared" si="27"/>
        <v>0</v>
      </c>
      <c r="AE61">
        <f t="shared" si="28"/>
        <v>0</v>
      </c>
      <c r="AF61">
        <f t="shared" si="29"/>
        <v>0</v>
      </c>
      <c r="AG61">
        <f t="shared" si="30"/>
        <v>0</v>
      </c>
      <c r="AH61">
        <f t="shared" si="31"/>
        <v>0</v>
      </c>
      <c r="AI61">
        <f t="shared" si="32"/>
        <v>0</v>
      </c>
      <c r="AJ61">
        <f t="shared" si="33"/>
        <v>0</v>
      </c>
      <c r="AK61">
        <v>27.87</v>
      </c>
      <c r="AL61" s="106">
        <f>'1.Лок.смета.и.Акт'!F142</f>
        <v>27.87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12.5</v>
      </c>
      <c r="BA61">
        <v>1</v>
      </c>
      <c r="BB61">
        <v>1</v>
      </c>
      <c r="BC61">
        <f>'1.Лок.смета.и.Акт'!J142</f>
        <v>12.5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34"/>
        <v>348.38</v>
      </c>
      <c r="CQ61">
        <f t="shared" si="35"/>
        <v>348.375</v>
      </c>
      <c r="CR61">
        <f t="shared" si="36"/>
        <v>0</v>
      </c>
      <c r="CS61">
        <f t="shared" si="37"/>
        <v>0</v>
      </c>
      <c r="CT61">
        <f t="shared" si="38"/>
        <v>0</v>
      </c>
      <c r="CU61">
        <f t="shared" si="39"/>
        <v>0</v>
      </c>
      <c r="CV61">
        <f t="shared" si="40"/>
        <v>0</v>
      </c>
      <c r="CW61">
        <f t="shared" si="41"/>
        <v>0</v>
      </c>
      <c r="CX61">
        <f t="shared" si="42"/>
        <v>0</v>
      </c>
      <c r="CY61">
        <f t="shared" si="43"/>
        <v>0</v>
      </c>
      <c r="CZ61">
        <f t="shared" si="44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32</v>
      </c>
      <c r="DW61" t="str">
        <f>'1.Лок.смета.и.Акт'!D142</f>
        <v>ШТ</v>
      </c>
      <c r="DX61">
        <v>1</v>
      </c>
      <c r="EE61">
        <v>32653538</v>
      </c>
      <c r="EF61">
        <v>20</v>
      </c>
      <c r="EG61" t="s">
        <v>74</v>
      </c>
      <c r="EH61">
        <v>0</v>
      </c>
      <c r="EI61" t="s">
        <v>3</v>
      </c>
      <c r="EJ61">
        <v>1</v>
      </c>
      <c r="EK61">
        <v>1100</v>
      </c>
      <c r="EL61" t="s">
        <v>75</v>
      </c>
      <c r="EM61" t="s">
        <v>76</v>
      </c>
      <c r="EO61" t="s">
        <v>3</v>
      </c>
      <c r="EQ61">
        <v>0</v>
      </c>
      <c r="ER61">
        <v>46.44</v>
      </c>
      <c r="ES61" s="106">
        <f>'1.Лок.смета.и.Акт'!F142</f>
        <v>27.87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341.48</v>
      </c>
      <c r="FQ61">
        <v>0</v>
      </c>
      <c r="FR61">
        <f t="shared" si="45"/>
        <v>0</v>
      </c>
      <c r="FS61">
        <v>0</v>
      </c>
      <c r="FX61">
        <v>0</v>
      </c>
      <c r="FY61">
        <v>0</v>
      </c>
      <c r="GA61" t="s">
        <v>103</v>
      </c>
      <c r="GD61">
        <v>1</v>
      </c>
      <c r="GF61">
        <v>1231875480</v>
      </c>
      <c r="GG61">
        <v>1</v>
      </c>
      <c r="GH61">
        <v>3</v>
      </c>
      <c r="GI61">
        <v>4</v>
      </c>
      <c r="GJ61">
        <v>0</v>
      </c>
      <c r="GK61">
        <v>0</v>
      </c>
      <c r="GL61">
        <f t="shared" si="46"/>
        <v>0</v>
      </c>
      <c r="GM61">
        <f t="shared" si="47"/>
        <v>348.38</v>
      </c>
      <c r="GN61">
        <f t="shared" si="48"/>
        <v>348.38</v>
      </c>
      <c r="GO61">
        <f t="shared" si="49"/>
        <v>0</v>
      </c>
      <c r="GP61">
        <f t="shared" si="50"/>
        <v>0</v>
      </c>
      <c r="GR61">
        <v>1</v>
      </c>
      <c r="GS61">
        <v>1</v>
      </c>
      <c r="GT61">
        <v>0</v>
      </c>
      <c r="GU61" t="s">
        <v>3</v>
      </c>
      <c r="GV61">
        <f t="shared" si="51"/>
        <v>0</v>
      </c>
      <c r="GW61">
        <v>1</v>
      </c>
      <c r="GX61">
        <f t="shared" si="52"/>
        <v>0</v>
      </c>
      <c r="HA61">
        <v>0</v>
      </c>
      <c r="HB61">
        <v>0</v>
      </c>
      <c r="HC61">
        <f t="shared" si="53"/>
        <v>0</v>
      </c>
      <c r="IF61">
        <v>-1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104</v>
      </c>
      <c r="F62" s="2" t="s">
        <v>72</v>
      </c>
      <c r="G62" s="2" t="s">
        <v>105</v>
      </c>
      <c r="H62" s="2" t="s">
        <v>32</v>
      </c>
      <c r="I62" s="2">
        <f>'1.Лок.смета.и.Акт'!E145</f>
        <v>1</v>
      </c>
      <c r="J62" s="2">
        <v>0</v>
      </c>
      <c r="K62" s="2"/>
      <c r="L62" s="2"/>
      <c r="M62" s="2"/>
      <c r="N62" s="2"/>
      <c r="O62" s="2">
        <f t="shared" si="14"/>
        <v>3.65</v>
      </c>
      <c r="P62" s="2">
        <f t="shared" si="15"/>
        <v>3.65</v>
      </c>
      <c r="Q62" s="2">
        <f t="shared" si="16"/>
        <v>0</v>
      </c>
      <c r="R62" s="2">
        <f t="shared" si="17"/>
        <v>0</v>
      </c>
      <c r="S62" s="2">
        <f t="shared" si="18"/>
        <v>0</v>
      </c>
      <c r="T62" s="2">
        <f t="shared" si="19"/>
        <v>0</v>
      </c>
      <c r="U62" s="2">
        <f t="shared" si="20"/>
        <v>0</v>
      </c>
      <c r="V62" s="2">
        <f t="shared" si="21"/>
        <v>0</v>
      </c>
      <c r="W62" s="2">
        <f t="shared" si="22"/>
        <v>0</v>
      </c>
      <c r="X62" s="2">
        <f t="shared" si="23"/>
        <v>0</v>
      </c>
      <c r="Y62" s="2">
        <f t="shared" si="24"/>
        <v>0</v>
      </c>
      <c r="Z62" s="2"/>
      <c r="AA62" s="2">
        <v>34748518</v>
      </c>
      <c r="AB62" s="2">
        <f t="shared" si="25"/>
        <v>3.65</v>
      </c>
      <c r="AC62" s="2">
        <f t="shared" si="26"/>
        <v>3.65</v>
      </c>
      <c r="AD62" s="2">
        <f t="shared" si="27"/>
        <v>0</v>
      </c>
      <c r="AE62" s="2">
        <f t="shared" si="28"/>
        <v>0</v>
      </c>
      <c r="AF62" s="2">
        <f t="shared" si="29"/>
        <v>0</v>
      </c>
      <c r="AG62" s="2">
        <f t="shared" si="30"/>
        <v>0</v>
      </c>
      <c r="AH62" s="2">
        <f t="shared" si="31"/>
        <v>0</v>
      </c>
      <c r="AI62" s="2">
        <f t="shared" si="32"/>
        <v>0</v>
      </c>
      <c r="AJ62" s="2">
        <f t="shared" si="33"/>
        <v>0</v>
      </c>
      <c r="AK62" s="2">
        <v>3.65</v>
      </c>
      <c r="AL62" s="2">
        <v>3.65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>
        <v>0</v>
      </c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34"/>
        <v>3.65</v>
      </c>
      <c r="CQ62" s="2">
        <f t="shared" si="35"/>
        <v>3.65</v>
      </c>
      <c r="CR62" s="2">
        <f t="shared" si="36"/>
        <v>0</v>
      </c>
      <c r="CS62" s="2">
        <f t="shared" si="37"/>
        <v>0</v>
      </c>
      <c r="CT62" s="2">
        <f t="shared" si="38"/>
        <v>0</v>
      </c>
      <c r="CU62" s="2">
        <f t="shared" si="39"/>
        <v>0</v>
      </c>
      <c r="CV62" s="2">
        <f t="shared" si="40"/>
        <v>0</v>
      </c>
      <c r="CW62" s="2">
        <f t="shared" si="41"/>
        <v>0</v>
      </c>
      <c r="CX62" s="2">
        <f t="shared" si="42"/>
        <v>0</v>
      </c>
      <c r="CY62" s="2">
        <f t="shared" si="43"/>
        <v>0</v>
      </c>
      <c r="CZ62" s="2">
        <f t="shared" si="44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32</v>
      </c>
      <c r="DW62" s="2" t="s">
        <v>32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74</v>
      </c>
      <c r="EH62" s="2">
        <v>0</v>
      </c>
      <c r="EI62" s="2" t="s">
        <v>3</v>
      </c>
      <c r="EJ62" s="2">
        <v>1</v>
      </c>
      <c r="EK62" s="2">
        <v>1100</v>
      </c>
      <c r="EL62" s="2" t="s">
        <v>75</v>
      </c>
      <c r="EM62" s="2" t="s">
        <v>76</v>
      </c>
      <c r="EN62" s="2"/>
      <c r="EO62" s="2" t="s">
        <v>3</v>
      </c>
      <c r="EP62" s="2"/>
      <c r="EQ62" s="2">
        <v>0</v>
      </c>
      <c r="ER62" s="2">
        <v>0</v>
      </c>
      <c r="ES62" s="2">
        <v>3.65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4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106</v>
      </c>
      <c r="GB62" s="2"/>
      <c r="GC62" s="2"/>
      <c r="GD62" s="2">
        <v>1</v>
      </c>
      <c r="GE62" s="2"/>
      <c r="GF62" s="2">
        <v>1395469818</v>
      </c>
      <c r="GG62" s="2">
        <v>2</v>
      </c>
      <c r="GH62" s="2">
        <v>4</v>
      </c>
      <c r="GI62" s="2">
        <v>-2</v>
      </c>
      <c r="GJ62" s="2">
        <v>0</v>
      </c>
      <c r="GK62" s="2">
        <v>0</v>
      </c>
      <c r="GL62" s="2">
        <f t="shared" si="46"/>
        <v>0</v>
      </c>
      <c r="GM62" s="2">
        <f t="shared" si="47"/>
        <v>3.65</v>
      </c>
      <c r="GN62" s="2">
        <f t="shared" si="48"/>
        <v>3.65</v>
      </c>
      <c r="GO62" s="2">
        <f t="shared" si="49"/>
        <v>0</v>
      </c>
      <c r="GP62" s="2">
        <f t="shared" si="50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51"/>
        <v>0</v>
      </c>
      <c r="GW62" s="2">
        <v>1</v>
      </c>
      <c r="GX62" s="2">
        <f t="shared" si="52"/>
        <v>0</v>
      </c>
      <c r="GY62" s="2"/>
      <c r="GZ62" s="2"/>
      <c r="HA62" s="2">
        <v>0</v>
      </c>
      <c r="HB62" s="2">
        <v>0</v>
      </c>
      <c r="HC62" s="2">
        <f t="shared" si="53"/>
        <v>0</v>
      </c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>
        <v>-1</v>
      </c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104</v>
      </c>
      <c r="F63" t="str">
        <f>'1.Лок.смета.и.Акт'!B145</f>
        <v>Прайс-лист</v>
      </c>
      <c r="G63" t="str">
        <f>'1.Лок.смета.и.Акт'!C145</f>
        <v>3G Antenna teleofis RC30 SMA</v>
      </c>
      <c r="H63" t="s">
        <v>32</v>
      </c>
      <c r="I63">
        <f>'1.Лок.смета.и.Акт'!E145</f>
        <v>1</v>
      </c>
      <c r="J63">
        <v>0</v>
      </c>
      <c r="O63">
        <f t="shared" si="14"/>
        <v>45.63</v>
      </c>
      <c r="P63">
        <f t="shared" si="15"/>
        <v>45.63</v>
      </c>
      <c r="Q63">
        <f t="shared" si="16"/>
        <v>0</v>
      </c>
      <c r="R63">
        <f t="shared" si="17"/>
        <v>0</v>
      </c>
      <c r="S63">
        <f t="shared" si="18"/>
        <v>0</v>
      </c>
      <c r="T63">
        <f t="shared" si="19"/>
        <v>0</v>
      </c>
      <c r="U63">
        <f t="shared" si="20"/>
        <v>0</v>
      </c>
      <c r="V63">
        <f t="shared" si="21"/>
        <v>0</v>
      </c>
      <c r="W63">
        <f t="shared" si="22"/>
        <v>0</v>
      </c>
      <c r="X63">
        <f t="shared" si="23"/>
        <v>0</v>
      </c>
      <c r="Y63">
        <f t="shared" si="24"/>
        <v>0</v>
      </c>
      <c r="AA63">
        <v>34748540</v>
      </c>
      <c r="AB63">
        <f t="shared" si="25"/>
        <v>3.65</v>
      </c>
      <c r="AC63">
        <f t="shared" si="26"/>
        <v>3.65</v>
      </c>
      <c r="AD63">
        <f t="shared" si="27"/>
        <v>0</v>
      </c>
      <c r="AE63">
        <f t="shared" si="28"/>
        <v>0</v>
      </c>
      <c r="AF63">
        <f t="shared" si="29"/>
        <v>0</v>
      </c>
      <c r="AG63">
        <f t="shared" si="30"/>
        <v>0</v>
      </c>
      <c r="AH63">
        <f t="shared" si="31"/>
        <v>0</v>
      </c>
      <c r="AI63">
        <f t="shared" si="32"/>
        <v>0</v>
      </c>
      <c r="AJ63">
        <f t="shared" si="33"/>
        <v>0</v>
      </c>
      <c r="AK63">
        <v>3.65</v>
      </c>
      <c r="AL63" s="106">
        <f>'1.Лок.смета.и.Акт'!F145</f>
        <v>3.65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12.5</v>
      </c>
      <c r="BA63">
        <v>1</v>
      </c>
      <c r="BB63">
        <v>1</v>
      </c>
      <c r="BC63">
        <f>'1.Лок.смета.и.Акт'!J145</f>
        <v>12.5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34"/>
        <v>45.63</v>
      </c>
      <c r="CQ63">
        <f t="shared" si="35"/>
        <v>45.625</v>
      </c>
      <c r="CR63">
        <f t="shared" si="36"/>
        <v>0</v>
      </c>
      <c r="CS63">
        <f t="shared" si="37"/>
        <v>0</v>
      </c>
      <c r="CT63">
        <f t="shared" si="38"/>
        <v>0</v>
      </c>
      <c r="CU63">
        <f t="shared" si="39"/>
        <v>0</v>
      </c>
      <c r="CV63">
        <f t="shared" si="40"/>
        <v>0</v>
      </c>
      <c r="CW63">
        <f t="shared" si="41"/>
        <v>0</v>
      </c>
      <c r="CX63">
        <f t="shared" si="42"/>
        <v>0</v>
      </c>
      <c r="CY63">
        <f t="shared" si="43"/>
        <v>0</v>
      </c>
      <c r="CZ63">
        <f t="shared" si="44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32</v>
      </c>
      <c r="DW63" t="str">
        <f>'1.Лок.смета.и.Акт'!D145</f>
        <v>ШТ</v>
      </c>
      <c r="DX63">
        <v>1</v>
      </c>
      <c r="EE63">
        <v>32653538</v>
      </c>
      <c r="EF63">
        <v>20</v>
      </c>
      <c r="EG63" t="s">
        <v>74</v>
      </c>
      <c r="EH63">
        <v>0</v>
      </c>
      <c r="EI63" t="s">
        <v>3</v>
      </c>
      <c r="EJ63">
        <v>1</v>
      </c>
      <c r="EK63">
        <v>1100</v>
      </c>
      <c r="EL63" t="s">
        <v>75</v>
      </c>
      <c r="EM63" t="s">
        <v>76</v>
      </c>
      <c r="EO63" t="s">
        <v>3</v>
      </c>
      <c r="EQ63">
        <v>0</v>
      </c>
      <c r="ER63">
        <v>6.08</v>
      </c>
      <c r="ES63" s="106">
        <f>'1.Лок.смета.и.Акт'!F145</f>
        <v>3.65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44.73</v>
      </c>
      <c r="FQ63">
        <v>0</v>
      </c>
      <c r="FR63">
        <f t="shared" si="45"/>
        <v>0</v>
      </c>
      <c r="FS63">
        <v>0</v>
      </c>
      <c r="FX63">
        <v>0</v>
      </c>
      <c r="FY63">
        <v>0</v>
      </c>
      <c r="GA63" t="s">
        <v>106</v>
      </c>
      <c r="GD63">
        <v>1</v>
      </c>
      <c r="GF63">
        <v>1395469818</v>
      </c>
      <c r="GG63">
        <v>1</v>
      </c>
      <c r="GH63">
        <v>3</v>
      </c>
      <c r="GI63">
        <v>4</v>
      </c>
      <c r="GJ63">
        <v>0</v>
      </c>
      <c r="GK63">
        <v>0</v>
      </c>
      <c r="GL63">
        <f t="shared" si="46"/>
        <v>0</v>
      </c>
      <c r="GM63">
        <f t="shared" si="47"/>
        <v>45.63</v>
      </c>
      <c r="GN63">
        <f t="shared" si="48"/>
        <v>45.63</v>
      </c>
      <c r="GO63">
        <f t="shared" si="49"/>
        <v>0</v>
      </c>
      <c r="GP63">
        <f t="shared" si="50"/>
        <v>0</v>
      </c>
      <c r="GR63">
        <v>1</v>
      </c>
      <c r="GS63">
        <v>1</v>
      </c>
      <c r="GT63">
        <v>0</v>
      </c>
      <c r="GU63" t="s">
        <v>3</v>
      </c>
      <c r="GV63">
        <f t="shared" si="51"/>
        <v>0</v>
      </c>
      <c r="GW63">
        <v>1</v>
      </c>
      <c r="GX63">
        <f t="shared" si="52"/>
        <v>0</v>
      </c>
      <c r="HA63">
        <v>0</v>
      </c>
      <c r="HB63">
        <v>0</v>
      </c>
      <c r="HC63">
        <f t="shared" si="53"/>
        <v>0</v>
      </c>
      <c r="IF63">
        <v>-1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107</v>
      </c>
      <c r="F64" s="2" t="s">
        <v>72</v>
      </c>
      <c r="G64" s="2" t="s">
        <v>108</v>
      </c>
      <c r="H64" s="2" t="s">
        <v>32</v>
      </c>
      <c r="I64" s="2">
        <f>'1.Лок.смета.и.Акт'!E148</f>
        <v>1</v>
      </c>
      <c r="J64" s="2">
        <v>0</v>
      </c>
      <c r="K64" s="2"/>
      <c r="L64" s="2"/>
      <c r="M64" s="2"/>
      <c r="N64" s="2"/>
      <c r="O64" s="2">
        <f t="shared" si="14"/>
        <v>5.25</v>
      </c>
      <c r="P64" s="2">
        <f t="shared" si="15"/>
        <v>5.25</v>
      </c>
      <c r="Q64" s="2">
        <f t="shared" si="16"/>
        <v>0</v>
      </c>
      <c r="R64" s="2">
        <f t="shared" si="17"/>
        <v>0</v>
      </c>
      <c r="S64" s="2">
        <f t="shared" si="18"/>
        <v>0</v>
      </c>
      <c r="T64" s="2">
        <f t="shared" si="19"/>
        <v>0</v>
      </c>
      <c r="U64" s="2">
        <f t="shared" si="20"/>
        <v>0</v>
      </c>
      <c r="V64" s="2">
        <f t="shared" si="21"/>
        <v>0</v>
      </c>
      <c r="W64" s="2">
        <f t="shared" si="22"/>
        <v>0</v>
      </c>
      <c r="X64" s="2">
        <f t="shared" si="23"/>
        <v>0</v>
      </c>
      <c r="Y64" s="2">
        <f t="shared" si="24"/>
        <v>0</v>
      </c>
      <c r="Z64" s="2"/>
      <c r="AA64" s="2">
        <v>34748518</v>
      </c>
      <c r="AB64" s="2">
        <f t="shared" si="25"/>
        <v>5.25</v>
      </c>
      <c r="AC64" s="2">
        <f t="shared" si="26"/>
        <v>5.25</v>
      </c>
      <c r="AD64" s="2">
        <f t="shared" si="27"/>
        <v>0</v>
      </c>
      <c r="AE64" s="2">
        <f t="shared" si="28"/>
        <v>0</v>
      </c>
      <c r="AF64" s="2">
        <f t="shared" si="29"/>
        <v>0</v>
      </c>
      <c r="AG64" s="2">
        <f t="shared" si="30"/>
        <v>0</v>
      </c>
      <c r="AH64" s="2">
        <f t="shared" si="31"/>
        <v>0</v>
      </c>
      <c r="AI64" s="2">
        <f t="shared" si="32"/>
        <v>0</v>
      </c>
      <c r="AJ64" s="2">
        <f t="shared" si="33"/>
        <v>0</v>
      </c>
      <c r="AK64" s="2">
        <v>5.25</v>
      </c>
      <c r="AL64" s="2">
        <v>5.25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>
        <v>0</v>
      </c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34"/>
        <v>5.25</v>
      </c>
      <c r="CQ64" s="2">
        <f t="shared" si="35"/>
        <v>5.25</v>
      </c>
      <c r="CR64" s="2">
        <f t="shared" si="36"/>
        <v>0</v>
      </c>
      <c r="CS64" s="2">
        <f t="shared" si="37"/>
        <v>0</v>
      </c>
      <c r="CT64" s="2">
        <f t="shared" si="38"/>
        <v>0</v>
      </c>
      <c r="CU64" s="2">
        <f t="shared" si="39"/>
        <v>0</v>
      </c>
      <c r="CV64" s="2">
        <f t="shared" si="40"/>
        <v>0</v>
      </c>
      <c r="CW64" s="2">
        <f t="shared" si="41"/>
        <v>0</v>
      </c>
      <c r="CX64" s="2">
        <f t="shared" si="42"/>
        <v>0</v>
      </c>
      <c r="CY64" s="2">
        <f t="shared" si="43"/>
        <v>0</v>
      </c>
      <c r="CZ64" s="2">
        <f t="shared" si="44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32</v>
      </c>
      <c r="DW64" s="2" t="s">
        <v>32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74</v>
      </c>
      <c r="EH64" s="2">
        <v>0</v>
      </c>
      <c r="EI64" s="2" t="s">
        <v>3</v>
      </c>
      <c r="EJ64" s="2">
        <v>1</v>
      </c>
      <c r="EK64" s="2">
        <v>1100</v>
      </c>
      <c r="EL64" s="2" t="s">
        <v>75</v>
      </c>
      <c r="EM64" s="2" t="s">
        <v>76</v>
      </c>
      <c r="EN64" s="2"/>
      <c r="EO64" s="2" t="s">
        <v>3</v>
      </c>
      <c r="EP64" s="2"/>
      <c r="EQ64" s="2">
        <v>0</v>
      </c>
      <c r="ER64" s="2">
        <v>0</v>
      </c>
      <c r="ES64" s="2">
        <v>5.25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4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109</v>
      </c>
      <c r="GB64" s="2"/>
      <c r="GC64" s="2"/>
      <c r="GD64" s="2">
        <v>1</v>
      </c>
      <c r="GE64" s="2"/>
      <c r="GF64" s="2">
        <v>-1386174640</v>
      </c>
      <c r="GG64" s="2">
        <v>2</v>
      </c>
      <c r="GH64" s="2">
        <v>4</v>
      </c>
      <c r="GI64" s="2">
        <v>-2</v>
      </c>
      <c r="GJ64" s="2">
        <v>0</v>
      </c>
      <c r="GK64" s="2">
        <v>0</v>
      </c>
      <c r="GL64" s="2">
        <f t="shared" si="46"/>
        <v>0</v>
      </c>
      <c r="GM64" s="2">
        <f t="shared" si="47"/>
        <v>5.25</v>
      </c>
      <c r="GN64" s="2">
        <f t="shared" si="48"/>
        <v>5.25</v>
      </c>
      <c r="GO64" s="2">
        <f t="shared" si="49"/>
        <v>0</v>
      </c>
      <c r="GP64" s="2">
        <f t="shared" si="50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51"/>
        <v>0</v>
      </c>
      <c r="GW64" s="2">
        <v>1</v>
      </c>
      <c r="GX64" s="2">
        <f t="shared" si="52"/>
        <v>0</v>
      </c>
      <c r="GY64" s="2"/>
      <c r="GZ64" s="2"/>
      <c r="HA64" s="2">
        <v>0</v>
      </c>
      <c r="HB64" s="2">
        <v>0</v>
      </c>
      <c r="HC64" s="2">
        <f t="shared" si="53"/>
        <v>0</v>
      </c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>
        <v>-1</v>
      </c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45" x14ac:dyDescent="0.2">
      <c r="A65">
        <v>17</v>
      </c>
      <c r="B65">
        <v>1</v>
      </c>
      <c r="E65" t="s">
        <v>107</v>
      </c>
      <c r="F65" t="str">
        <f>'1.Лок.смета.и.Акт'!B148</f>
        <v>Прайс-лист</v>
      </c>
      <c r="G65" t="str">
        <f>'1.Лок.смета.и.Акт'!C148</f>
        <v>Переходник РЭМО-FME CRC9</v>
      </c>
      <c r="H65" t="s">
        <v>32</v>
      </c>
      <c r="I65">
        <f>'1.Лок.смета.и.Акт'!E148</f>
        <v>1</v>
      </c>
      <c r="J65">
        <v>0</v>
      </c>
      <c r="O65">
        <f t="shared" si="14"/>
        <v>65.63</v>
      </c>
      <c r="P65">
        <f t="shared" si="15"/>
        <v>65.63</v>
      </c>
      <c r="Q65">
        <f t="shared" si="16"/>
        <v>0</v>
      </c>
      <c r="R65">
        <f t="shared" si="17"/>
        <v>0</v>
      </c>
      <c r="S65">
        <f t="shared" si="18"/>
        <v>0</v>
      </c>
      <c r="T65">
        <f t="shared" si="19"/>
        <v>0</v>
      </c>
      <c r="U65">
        <f t="shared" si="20"/>
        <v>0</v>
      </c>
      <c r="V65">
        <f t="shared" si="21"/>
        <v>0</v>
      </c>
      <c r="W65">
        <f t="shared" si="22"/>
        <v>0</v>
      </c>
      <c r="X65">
        <f t="shared" si="23"/>
        <v>0</v>
      </c>
      <c r="Y65">
        <f t="shared" si="24"/>
        <v>0</v>
      </c>
      <c r="AA65">
        <v>34748540</v>
      </c>
      <c r="AB65">
        <f t="shared" si="25"/>
        <v>5.25</v>
      </c>
      <c r="AC65">
        <f t="shared" si="26"/>
        <v>5.25</v>
      </c>
      <c r="AD65">
        <f t="shared" si="27"/>
        <v>0</v>
      </c>
      <c r="AE65">
        <f t="shared" si="28"/>
        <v>0</v>
      </c>
      <c r="AF65">
        <f t="shared" si="29"/>
        <v>0</v>
      </c>
      <c r="AG65">
        <f t="shared" si="30"/>
        <v>0</v>
      </c>
      <c r="AH65">
        <f t="shared" si="31"/>
        <v>0</v>
      </c>
      <c r="AI65">
        <f t="shared" si="32"/>
        <v>0</v>
      </c>
      <c r="AJ65">
        <f t="shared" si="33"/>
        <v>0</v>
      </c>
      <c r="AK65">
        <v>5.25</v>
      </c>
      <c r="AL65" s="106">
        <f>'1.Лок.смета.и.Акт'!F148</f>
        <v>5.25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12.5</v>
      </c>
      <c r="BA65">
        <v>1</v>
      </c>
      <c r="BB65">
        <v>1</v>
      </c>
      <c r="BC65">
        <f>'1.Лок.смета.и.Акт'!J148</f>
        <v>12.5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34"/>
        <v>65.63</v>
      </c>
      <c r="CQ65">
        <f t="shared" si="35"/>
        <v>65.625</v>
      </c>
      <c r="CR65">
        <f t="shared" si="36"/>
        <v>0</v>
      </c>
      <c r="CS65">
        <f t="shared" si="37"/>
        <v>0</v>
      </c>
      <c r="CT65">
        <f t="shared" si="38"/>
        <v>0</v>
      </c>
      <c r="CU65">
        <f t="shared" si="39"/>
        <v>0</v>
      </c>
      <c r="CV65">
        <f t="shared" si="40"/>
        <v>0</v>
      </c>
      <c r="CW65">
        <f t="shared" si="41"/>
        <v>0</v>
      </c>
      <c r="CX65">
        <f t="shared" si="42"/>
        <v>0</v>
      </c>
      <c r="CY65">
        <f t="shared" si="43"/>
        <v>0</v>
      </c>
      <c r="CZ65">
        <f t="shared" si="44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32</v>
      </c>
      <c r="DW65" t="str">
        <f>'1.Лок.смета.и.Акт'!D148</f>
        <v>ШТ</v>
      </c>
      <c r="DX65">
        <v>1</v>
      </c>
      <c r="EE65">
        <v>32653538</v>
      </c>
      <c r="EF65">
        <v>20</v>
      </c>
      <c r="EG65" t="s">
        <v>74</v>
      </c>
      <c r="EH65">
        <v>0</v>
      </c>
      <c r="EI65" t="s">
        <v>3</v>
      </c>
      <c r="EJ65">
        <v>1</v>
      </c>
      <c r="EK65">
        <v>1100</v>
      </c>
      <c r="EL65" t="s">
        <v>75</v>
      </c>
      <c r="EM65" t="s">
        <v>76</v>
      </c>
      <c r="EO65" t="s">
        <v>3</v>
      </c>
      <c r="EQ65">
        <v>0</v>
      </c>
      <c r="ER65">
        <v>8.76</v>
      </c>
      <c r="ES65" s="106">
        <f>'1.Лок.смета.и.Акт'!F148</f>
        <v>5.25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64.41</v>
      </c>
      <c r="FQ65">
        <v>0</v>
      </c>
      <c r="FR65">
        <f t="shared" si="45"/>
        <v>0</v>
      </c>
      <c r="FS65">
        <v>0</v>
      </c>
      <c r="FX65">
        <v>0</v>
      </c>
      <c r="FY65">
        <v>0</v>
      </c>
      <c r="GA65" t="s">
        <v>109</v>
      </c>
      <c r="GD65">
        <v>1</v>
      </c>
      <c r="GF65">
        <v>-1386174640</v>
      </c>
      <c r="GG65">
        <v>1</v>
      </c>
      <c r="GH65">
        <v>3</v>
      </c>
      <c r="GI65">
        <v>4</v>
      </c>
      <c r="GJ65">
        <v>0</v>
      </c>
      <c r="GK65">
        <v>0</v>
      </c>
      <c r="GL65">
        <f t="shared" si="46"/>
        <v>0</v>
      </c>
      <c r="GM65">
        <f t="shared" si="47"/>
        <v>65.63</v>
      </c>
      <c r="GN65">
        <f t="shared" si="48"/>
        <v>65.63</v>
      </c>
      <c r="GO65">
        <f t="shared" si="49"/>
        <v>0</v>
      </c>
      <c r="GP65">
        <f t="shared" si="50"/>
        <v>0</v>
      </c>
      <c r="GR65">
        <v>1</v>
      </c>
      <c r="GS65">
        <v>1</v>
      </c>
      <c r="GT65">
        <v>0</v>
      </c>
      <c r="GU65" t="s">
        <v>3</v>
      </c>
      <c r="GV65">
        <f t="shared" si="51"/>
        <v>0</v>
      </c>
      <c r="GW65">
        <v>1</v>
      </c>
      <c r="GX65">
        <f t="shared" si="52"/>
        <v>0</v>
      </c>
      <c r="HA65">
        <v>0</v>
      </c>
      <c r="HB65">
        <v>0</v>
      </c>
      <c r="HC65">
        <f t="shared" si="53"/>
        <v>0</v>
      </c>
      <c r="IF65">
        <v>-1</v>
      </c>
      <c r="IK65">
        <v>0</v>
      </c>
    </row>
    <row r="66" spans="1:245" x14ac:dyDescent="0.2">
      <c r="IF66">
        <v>-1</v>
      </c>
    </row>
    <row r="67" spans="1:245" x14ac:dyDescent="0.2">
      <c r="A67" s="3">
        <v>51</v>
      </c>
      <c r="B67" s="3">
        <f>B20</f>
        <v>1</v>
      </c>
      <c r="C67" s="3">
        <f>A20</f>
        <v>3</v>
      </c>
      <c r="D67" s="3">
        <f>ROW(A20)</f>
        <v>20</v>
      </c>
      <c r="E67" s="3"/>
      <c r="F67" s="3" t="str">
        <f>IF(F20&lt;&gt;"",F20,"")</f>
        <v>Новая локальная смета</v>
      </c>
      <c r="G67" s="3" t="str">
        <f>IF(G20&lt;&gt;"",G20,"")</f>
        <v>Новая локальная смета</v>
      </c>
      <c r="H67" s="3">
        <v>0</v>
      </c>
      <c r="I67" s="3"/>
      <c r="J67" s="3"/>
      <c r="K67" s="3"/>
      <c r="L67" s="3"/>
      <c r="M67" s="3"/>
      <c r="N67" s="3"/>
      <c r="O67" s="3">
        <f t="shared" ref="O67:T67" si="54">ROUND(AB67,2)</f>
        <v>27393.43</v>
      </c>
      <c r="P67" s="3">
        <f t="shared" si="54"/>
        <v>24254.52</v>
      </c>
      <c r="Q67" s="3">
        <f t="shared" si="54"/>
        <v>2615.02</v>
      </c>
      <c r="R67" s="3">
        <f t="shared" si="54"/>
        <v>198.01</v>
      </c>
      <c r="S67" s="3">
        <f t="shared" si="54"/>
        <v>523.89</v>
      </c>
      <c r="T67" s="3">
        <f t="shared" si="54"/>
        <v>0</v>
      </c>
      <c r="U67" s="3">
        <f>AH67</f>
        <v>53.182400000000001</v>
      </c>
      <c r="V67" s="3">
        <f>AI67</f>
        <v>16.384500000000003</v>
      </c>
      <c r="W67" s="3">
        <f>ROUND(AJ67,2)</f>
        <v>0</v>
      </c>
      <c r="X67" s="3">
        <f>ROUND(AK67,2)</f>
        <v>720.84</v>
      </c>
      <c r="Y67" s="3">
        <f>ROUND(AL67,2)</f>
        <v>441.78</v>
      </c>
      <c r="Z67" s="3"/>
      <c r="AA67" s="3"/>
      <c r="AB67" s="3">
        <f>ROUND(SUMIF(AA24:AA65,"=34748518",O24:O65),2)</f>
        <v>27393.43</v>
      </c>
      <c r="AC67" s="3">
        <f>ROUND(SUMIF(AA24:AA65,"=34748518",P24:P65),2)</f>
        <v>24254.52</v>
      </c>
      <c r="AD67" s="3">
        <f>ROUND(SUMIF(AA24:AA65,"=34748518",Q24:Q65),2)</f>
        <v>2615.02</v>
      </c>
      <c r="AE67" s="3">
        <f>ROUND(SUMIF(AA24:AA65,"=34748518",R24:R65),2)</f>
        <v>198.01</v>
      </c>
      <c r="AF67" s="3">
        <f>ROUND(SUMIF(AA24:AA65,"=34748518",S24:S65),2)</f>
        <v>523.89</v>
      </c>
      <c r="AG67" s="3">
        <f>ROUND(SUMIF(AA24:AA65,"=34748518",T24:T65),2)</f>
        <v>0</v>
      </c>
      <c r="AH67" s="3">
        <f>SUMIF(AA24:AA65,"=34748518",U24:U65)</f>
        <v>53.182400000000001</v>
      </c>
      <c r="AI67" s="3">
        <f>SUMIF(AA24:AA65,"=34748518",V24:V65)</f>
        <v>16.384500000000003</v>
      </c>
      <c r="AJ67" s="3">
        <f>ROUND(SUMIF(AA24:AA65,"=34748518",W24:W65),2)</f>
        <v>0</v>
      </c>
      <c r="AK67" s="3">
        <f>ROUND(SUMIF(AA24:AA65,"=34748518",X24:X65),2)</f>
        <v>720.84</v>
      </c>
      <c r="AL67" s="3">
        <f>ROUND(SUMIF(AA24:AA65,"=34748518",Y24:Y65),2)</f>
        <v>441.78</v>
      </c>
      <c r="AM67" s="3"/>
      <c r="AN67" s="3"/>
      <c r="AO67" s="3">
        <f t="shared" ref="AO67:BC67" si="55">ROUND(BX67,2)</f>
        <v>0</v>
      </c>
      <c r="AP67" s="3">
        <f t="shared" si="55"/>
        <v>0</v>
      </c>
      <c r="AQ67" s="3">
        <f t="shared" si="55"/>
        <v>0</v>
      </c>
      <c r="AR67" s="3">
        <f t="shared" si="55"/>
        <v>28556.05</v>
      </c>
      <c r="AS67" s="3">
        <f t="shared" si="55"/>
        <v>28173.4</v>
      </c>
      <c r="AT67" s="3">
        <f t="shared" si="55"/>
        <v>340.11</v>
      </c>
      <c r="AU67" s="3">
        <f t="shared" si="55"/>
        <v>42.54</v>
      </c>
      <c r="AV67" s="3">
        <f t="shared" si="55"/>
        <v>24254.52</v>
      </c>
      <c r="AW67" s="3">
        <f t="shared" si="55"/>
        <v>24254.52</v>
      </c>
      <c r="AX67" s="3">
        <f t="shared" si="55"/>
        <v>0</v>
      </c>
      <c r="AY67" s="3">
        <f t="shared" si="55"/>
        <v>24254.52</v>
      </c>
      <c r="AZ67" s="3">
        <f t="shared" si="55"/>
        <v>0</v>
      </c>
      <c r="BA67" s="3">
        <f t="shared" si="55"/>
        <v>0</v>
      </c>
      <c r="BB67" s="3">
        <f t="shared" si="55"/>
        <v>0</v>
      </c>
      <c r="BC67" s="3">
        <f t="shared" si="55"/>
        <v>0</v>
      </c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>
        <f>ROUND(SUMIF(AA24:AA65,"=34748518",FQ24:FQ65),2)</f>
        <v>0</v>
      </c>
      <c r="BY67" s="3">
        <f>ROUND(SUMIF(AA24:AA65,"=34748518",FR24:FR65),2)</f>
        <v>0</v>
      </c>
      <c r="BZ67" s="3">
        <f>ROUND(SUMIF(AA24:AA65,"=34748518",GL24:GL65),2)</f>
        <v>0</v>
      </c>
      <c r="CA67" s="3">
        <f>ROUND(SUMIF(AA24:AA65,"=34748518",GM24:GM65),2)</f>
        <v>28556.05</v>
      </c>
      <c r="CB67" s="3">
        <f>ROUND(SUMIF(AA24:AA65,"=34748518",GN24:GN65),2)</f>
        <v>28173.4</v>
      </c>
      <c r="CC67" s="3">
        <f>ROUND(SUMIF(AA24:AA65,"=34748518",GO24:GO65),2)</f>
        <v>340.11</v>
      </c>
      <c r="CD67" s="3">
        <f>ROUND(SUMIF(AA24:AA65,"=34748518",GP24:GP65),2)</f>
        <v>42.54</v>
      </c>
      <c r="CE67" s="3">
        <f>AC67-BX67</f>
        <v>24254.52</v>
      </c>
      <c r="CF67" s="3">
        <f>AC67-BY67</f>
        <v>24254.52</v>
      </c>
      <c r="CG67" s="3">
        <f>BX67-BZ67</f>
        <v>0</v>
      </c>
      <c r="CH67" s="3">
        <f>AC67-BX67-BY67+BZ67</f>
        <v>24254.52</v>
      </c>
      <c r="CI67" s="3">
        <f>BY67-BZ67</f>
        <v>0</v>
      </c>
      <c r="CJ67" s="3">
        <f>ROUND(SUMIF(AA24:AA65,"=34748518",GX24:GX65),2)</f>
        <v>0</v>
      </c>
      <c r="CK67" s="3">
        <f>ROUND(SUMIF(AA24:AA65,"=34748518",GY24:GY65),2)</f>
        <v>0</v>
      </c>
      <c r="CL67" s="3">
        <f>ROUND(SUMIF(AA24:AA65,"=34748518",GZ24:GZ65),2)</f>
        <v>0</v>
      </c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4">
        <f t="shared" ref="DG67:DL67" si="56">ROUND(DT67,2)</f>
        <v>342538.11</v>
      </c>
      <c r="DH67" s="4">
        <f t="shared" si="56"/>
        <v>303181.51</v>
      </c>
      <c r="DI67" s="4">
        <f t="shared" si="56"/>
        <v>32687.7</v>
      </c>
      <c r="DJ67" s="4">
        <f t="shared" si="56"/>
        <v>2475.09</v>
      </c>
      <c r="DK67" s="4">
        <f t="shared" si="56"/>
        <v>6668.9</v>
      </c>
      <c r="DL67" s="4">
        <f t="shared" si="56"/>
        <v>0</v>
      </c>
      <c r="DM67" s="4">
        <f>DZ67</f>
        <v>53.182400000000001</v>
      </c>
      <c r="DN67" s="4">
        <f>EA67</f>
        <v>16.384500000000003</v>
      </c>
      <c r="DO67" s="4">
        <f>ROUND(EB67,2)</f>
        <v>0</v>
      </c>
      <c r="DP67" s="4">
        <f>ROUND(EC67,2)</f>
        <v>9088.41</v>
      </c>
      <c r="DQ67" s="4">
        <f>ROUND(ED67,2)</f>
        <v>5570.18</v>
      </c>
      <c r="DR67" s="4"/>
      <c r="DS67" s="4"/>
      <c r="DT67" s="4">
        <f>ROUND(SUMIF(AA24:AA65,"=34748540",O24:O65),2)</f>
        <v>342538.11</v>
      </c>
      <c r="DU67" s="4">
        <f>ROUND(SUMIF(AA24:AA65,"=34748540",P24:P65),2)</f>
        <v>303181.51</v>
      </c>
      <c r="DV67" s="4">
        <f>ROUND(SUMIF(AA24:AA65,"=34748540",Q24:Q65),2)</f>
        <v>32687.7</v>
      </c>
      <c r="DW67" s="4">
        <f>ROUND(SUMIF(AA24:AA65,"=34748540",R24:R65),2)</f>
        <v>2475.09</v>
      </c>
      <c r="DX67" s="4">
        <f>ROUND(SUMIF(AA24:AA65,"=34748540",S24:S65),2)</f>
        <v>6668.9</v>
      </c>
      <c r="DY67" s="4">
        <f>ROUND(SUMIF(AA24:AA65,"=34748540",T24:T65),2)</f>
        <v>0</v>
      </c>
      <c r="DZ67" s="4">
        <f>SUMIF(AA24:AA65,"=34748540",U24:U65)</f>
        <v>53.182400000000001</v>
      </c>
      <c r="EA67" s="4">
        <f>SUMIF(AA24:AA65,"=34748540",V24:V65)</f>
        <v>16.384500000000003</v>
      </c>
      <c r="EB67" s="4">
        <f>ROUND(SUMIF(AA24:AA65,"=34748540",W24:W65),2)</f>
        <v>0</v>
      </c>
      <c r="EC67" s="4">
        <f>ROUND(SUMIF(AA24:AA65,"=34748540",X24:X65),2)</f>
        <v>9088.41</v>
      </c>
      <c r="ED67" s="4">
        <f>ROUND(SUMIF(AA24:AA65,"=34748540",Y24:Y65),2)</f>
        <v>5570.18</v>
      </c>
      <c r="EE67" s="4"/>
      <c r="EF67" s="4"/>
      <c r="EG67" s="4">
        <f t="shared" ref="EG67:EU67" si="57">ROUND(FP67,2)</f>
        <v>0</v>
      </c>
      <c r="EH67" s="4">
        <f t="shared" si="57"/>
        <v>0</v>
      </c>
      <c r="EI67" s="4">
        <f t="shared" si="57"/>
        <v>0</v>
      </c>
      <c r="EJ67" s="4">
        <f t="shared" si="57"/>
        <v>357196.7</v>
      </c>
      <c r="EK67" s="4">
        <f t="shared" si="57"/>
        <v>352167.29</v>
      </c>
      <c r="EL67" s="4">
        <f t="shared" si="57"/>
        <v>4250.97</v>
      </c>
      <c r="EM67" s="4">
        <f t="shared" si="57"/>
        <v>778.44</v>
      </c>
      <c r="EN67" s="4">
        <f t="shared" si="57"/>
        <v>303181.51</v>
      </c>
      <c r="EO67" s="4">
        <f t="shared" si="57"/>
        <v>303181.51</v>
      </c>
      <c r="EP67" s="4">
        <f t="shared" si="57"/>
        <v>0</v>
      </c>
      <c r="EQ67" s="4">
        <f t="shared" si="57"/>
        <v>303181.51</v>
      </c>
      <c r="ER67" s="4">
        <f t="shared" si="57"/>
        <v>0</v>
      </c>
      <c r="ES67" s="4">
        <f t="shared" si="57"/>
        <v>0</v>
      </c>
      <c r="ET67" s="4">
        <f t="shared" si="57"/>
        <v>0</v>
      </c>
      <c r="EU67" s="4">
        <f t="shared" si="57"/>
        <v>0</v>
      </c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>
        <f>ROUND(SUMIF(AA24:AA65,"=34748540",FQ24:FQ65),2)</f>
        <v>0</v>
      </c>
      <c r="FQ67" s="4">
        <f>ROUND(SUMIF(AA24:AA65,"=34748540",FR24:FR65),2)</f>
        <v>0</v>
      </c>
      <c r="FR67" s="4">
        <f>ROUND(SUMIF(AA24:AA65,"=34748540",GL24:GL65),2)</f>
        <v>0</v>
      </c>
      <c r="FS67" s="4">
        <f>ROUND(SUMIF(AA24:AA65,"=34748540",GM24:GM65),2)</f>
        <v>357196.7</v>
      </c>
      <c r="FT67" s="4">
        <f>ROUND(SUMIF(AA24:AA65,"=34748540",GN24:GN65),2)</f>
        <v>352167.29</v>
      </c>
      <c r="FU67" s="4">
        <f>ROUND(SUMIF(AA24:AA65,"=34748540",GO24:GO65),2)</f>
        <v>4250.97</v>
      </c>
      <c r="FV67" s="4">
        <f>ROUND(SUMIF(AA24:AA65,"=34748540",GP24:GP65),2)</f>
        <v>778.44</v>
      </c>
      <c r="FW67" s="4">
        <f>DU67-FP67</f>
        <v>303181.51</v>
      </c>
      <c r="FX67" s="4">
        <f>DU67-FQ67</f>
        <v>303181.51</v>
      </c>
      <c r="FY67" s="4">
        <f>FP67-FR67</f>
        <v>0</v>
      </c>
      <c r="FZ67" s="4">
        <f>DU67-FP67-FQ67+FR67</f>
        <v>303181.51</v>
      </c>
      <c r="GA67" s="4">
        <f>FQ67-FR67</f>
        <v>0</v>
      </c>
      <c r="GB67" s="4">
        <f>ROUND(SUMIF(AA24:AA65,"=34748540",GX24:GX65),2)</f>
        <v>0</v>
      </c>
      <c r="GC67" s="4">
        <f>ROUND(SUMIF(AA24:AA65,"=34748540",GY24:GY65),2)</f>
        <v>0</v>
      </c>
      <c r="GD67" s="4">
        <f>ROUND(SUMIF(AA24:AA65,"=34748540",GZ24:GZ65),2)</f>
        <v>0</v>
      </c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>
        <v>0</v>
      </c>
      <c r="IF67">
        <v>-1</v>
      </c>
    </row>
    <row r="68" spans="1:245" x14ac:dyDescent="0.2">
      <c r="IF68">
        <v>-1</v>
      </c>
    </row>
    <row r="69" spans="1:245" x14ac:dyDescent="0.2">
      <c r="A69" s="5">
        <v>50</v>
      </c>
      <c r="B69" s="5">
        <v>0</v>
      </c>
      <c r="C69" s="5">
        <v>0</v>
      </c>
      <c r="D69" s="5">
        <v>1</v>
      </c>
      <c r="E69" s="5">
        <v>201</v>
      </c>
      <c r="F69" s="5">
        <f>ROUND(Source!O67,O69)</f>
        <v>27393.43</v>
      </c>
      <c r="G69" s="5" t="s">
        <v>110</v>
      </c>
      <c r="H69" s="5" t="s">
        <v>111</v>
      </c>
      <c r="I69" s="5"/>
      <c r="J69" s="5"/>
      <c r="K69" s="5">
        <v>201</v>
      </c>
      <c r="L69" s="5">
        <v>1</v>
      </c>
      <c r="M69" s="5">
        <v>3</v>
      </c>
      <c r="N69" s="5" t="s">
        <v>3</v>
      </c>
      <c r="O69" s="5">
        <v>2</v>
      </c>
      <c r="P69" s="5">
        <f>ROUND(Source!DG67,O69)</f>
        <v>342538.11</v>
      </c>
      <c r="Q69" s="5"/>
      <c r="R69" s="5"/>
      <c r="S69" s="5"/>
      <c r="T69" s="5"/>
      <c r="U69" s="5"/>
      <c r="V69" s="5"/>
      <c r="W69" s="5"/>
      <c r="IF69">
        <v>-1</v>
      </c>
    </row>
    <row r="70" spans="1:245" x14ac:dyDescent="0.2">
      <c r="A70" s="5">
        <v>50</v>
      </c>
      <c r="B70" s="5">
        <v>0</v>
      </c>
      <c r="C70" s="5">
        <v>0</v>
      </c>
      <c r="D70" s="5">
        <v>1</v>
      </c>
      <c r="E70" s="5">
        <v>202</v>
      </c>
      <c r="F70" s="5">
        <f>ROUND(Source!P67,O70)</f>
        <v>24254.52</v>
      </c>
      <c r="G70" s="5" t="s">
        <v>112</v>
      </c>
      <c r="H70" s="5" t="s">
        <v>113</v>
      </c>
      <c r="I70" s="5"/>
      <c r="J70" s="5"/>
      <c r="K70" s="5">
        <v>202</v>
      </c>
      <c r="L70" s="5">
        <v>2</v>
      </c>
      <c r="M70" s="5">
        <v>3</v>
      </c>
      <c r="N70" s="5" t="s">
        <v>3</v>
      </c>
      <c r="O70" s="5">
        <v>2</v>
      </c>
      <c r="P70" s="5">
        <f>ROUND(Source!DH67,O70)</f>
        <v>303181.51</v>
      </c>
      <c r="Q70" s="5"/>
      <c r="R70" s="5"/>
      <c r="S70" s="5"/>
      <c r="T70" s="5"/>
      <c r="U70" s="5"/>
      <c r="V70" s="5"/>
      <c r="W70" s="5"/>
      <c r="IF70">
        <v>-1</v>
      </c>
    </row>
    <row r="71" spans="1:245" x14ac:dyDescent="0.2">
      <c r="A71" s="5">
        <v>50</v>
      </c>
      <c r="B71" s="5">
        <v>0</v>
      </c>
      <c r="C71" s="5">
        <v>0</v>
      </c>
      <c r="D71" s="5">
        <v>1</v>
      </c>
      <c r="E71" s="5">
        <v>222</v>
      </c>
      <c r="F71" s="5">
        <f>ROUND(Source!AO67,O71)</f>
        <v>0</v>
      </c>
      <c r="G71" s="5" t="s">
        <v>114</v>
      </c>
      <c r="H71" s="5" t="s">
        <v>115</v>
      </c>
      <c r="I71" s="5"/>
      <c r="J71" s="5"/>
      <c r="K71" s="5">
        <v>222</v>
      </c>
      <c r="L71" s="5">
        <v>3</v>
      </c>
      <c r="M71" s="5">
        <v>3</v>
      </c>
      <c r="N71" s="5" t="s">
        <v>3</v>
      </c>
      <c r="O71" s="5">
        <v>2</v>
      </c>
      <c r="P71" s="5">
        <f>ROUND(Source!EG67,O71)</f>
        <v>0</v>
      </c>
      <c r="Q71" s="5"/>
      <c r="R71" s="5"/>
      <c r="S71" s="5"/>
      <c r="T71" s="5"/>
      <c r="U71" s="5"/>
      <c r="V71" s="5"/>
      <c r="W71" s="5"/>
      <c r="IF71">
        <v>-1</v>
      </c>
    </row>
    <row r="72" spans="1:245" x14ac:dyDescent="0.2">
      <c r="A72" s="5">
        <v>50</v>
      </c>
      <c r="B72" s="5">
        <v>0</v>
      </c>
      <c r="C72" s="5">
        <v>0</v>
      </c>
      <c r="D72" s="5">
        <v>1</v>
      </c>
      <c r="E72" s="5">
        <v>225</v>
      </c>
      <c r="F72" s="5">
        <f>ROUND(Source!AV67,O72)</f>
        <v>24254.52</v>
      </c>
      <c r="G72" s="5" t="s">
        <v>116</v>
      </c>
      <c r="H72" s="5" t="s">
        <v>117</v>
      </c>
      <c r="I72" s="5"/>
      <c r="J72" s="5"/>
      <c r="K72" s="5">
        <v>225</v>
      </c>
      <c r="L72" s="5">
        <v>4</v>
      </c>
      <c r="M72" s="5">
        <v>3</v>
      </c>
      <c r="N72" s="5" t="s">
        <v>3</v>
      </c>
      <c r="O72" s="5">
        <v>2</v>
      </c>
      <c r="P72" s="5">
        <f>ROUND(Source!EN67,O72)</f>
        <v>303181.51</v>
      </c>
      <c r="Q72" s="5"/>
      <c r="R72" s="5"/>
      <c r="S72" s="5"/>
      <c r="T72" s="5"/>
      <c r="U72" s="5"/>
      <c r="V72" s="5"/>
      <c r="W72" s="5"/>
      <c r="IF72">
        <v>-1</v>
      </c>
    </row>
    <row r="73" spans="1:245" x14ac:dyDescent="0.2">
      <c r="A73" s="5">
        <v>50</v>
      </c>
      <c r="B73" s="5">
        <v>0</v>
      </c>
      <c r="C73" s="5">
        <v>0</v>
      </c>
      <c r="D73" s="5">
        <v>1</v>
      </c>
      <c r="E73" s="5">
        <v>226</v>
      </c>
      <c r="F73" s="5">
        <f>ROUND(Source!AW67,O73)</f>
        <v>24254.52</v>
      </c>
      <c r="G73" s="5" t="s">
        <v>118</v>
      </c>
      <c r="H73" s="5" t="s">
        <v>119</v>
      </c>
      <c r="I73" s="5"/>
      <c r="J73" s="5"/>
      <c r="K73" s="5">
        <v>226</v>
      </c>
      <c r="L73" s="5">
        <v>5</v>
      </c>
      <c r="M73" s="5">
        <v>3</v>
      </c>
      <c r="N73" s="5" t="s">
        <v>3</v>
      </c>
      <c r="O73" s="5">
        <v>2</v>
      </c>
      <c r="P73" s="5">
        <f>ROUND(Source!EO67,O73)</f>
        <v>303181.51</v>
      </c>
      <c r="Q73" s="5"/>
      <c r="R73" s="5"/>
      <c r="S73" s="5"/>
      <c r="T73" s="5"/>
      <c r="U73" s="5"/>
      <c r="V73" s="5"/>
      <c r="W73" s="5"/>
      <c r="IF73">
        <v>-1</v>
      </c>
    </row>
    <row r="74" spans="1:245" x14ac:dyDescent="0.2">
      <c r="A74" s="5">
        <v>50</v>
      </c>
      <c r="B74" s="5">
        <v>0</v>
      </c>
      <c r="C74" s="5">
        <v>0</v>
      </c>
      <c r="D74" s="5">
        <v>1</v>
      </c>
      <c r="E74" s="5">
        <v>227</v>
      </c>
      <c r="F74" s="5">
        <f>ROUND(Source!AX67,O74)</f>
        <v>0</v>
      </c>
      <c r="G74" s="5" t="s">
        <v>120</v>
      </c>
      <c r="H74" s="5" t="s">
        <v>121</v>
      </c>
      <c r="I74" s="5"/>
      <c r="J74" s="5"/>
      <c r="K74" s="5">
        <v>227</v>
      </c>
      <c r="L74" s="5">
        <v>6</v>
      </c>
      <c r="M74" s="5">
        <v>3</v>
      </c>
      <c r="N74" s="5" t="s">
        <v>3</v>
      </c>
      <c r="O74" s="5">
        <v>2</v>
      </c>
      <c r="P74" s="5">
        <f>ROUND(Source!EP67,O74)</f>
        <v>0</v>
      </c>
      <c r="Q74" s="5"/>
      <c r="R74" s="5"/>
      <c r="S74" s="5"/>
      <c r="T74" s="5"/>
      <c r="U74" s="5"/>
      <c r="V74" s="5"/>
      <c r="W74" s="5"/>
      <c r="IF74">
        <v>-1</v>
      </c>
    </row>
    <row r="75" spans="1:245" x14ac:dyDescent="0.2">
      <c r="A75" s="5">
        <v>50</v>
      </c>
      <c r="B75" s="5">
        <v>0</v>
      </c>
      <c r="C75" s="5">
        <v>0</v>
      </c>
      <c r="D75" s="5">
        <v>1</v>
      </c>
      <c r="E75" s="5">
        <v>228</v>
      </c>
      <c r="F75" s="5">
        <f>ROUND(Source!AY67,O75)</f>
        <v>24254.52</v>
      </c>
      <c r="G75" s="5" t="s">
        <v>122</v>
      </c>
      <c r="H75" s="5" t="s">
        <v>123</v>
      </c>
      <c r="I75" s="5"/>
      <c r="J75" s="5"/>
      <c r="K75" s="5">
        <v>228</v>
      </c>
      <c r="L75" s="5">
        <v>7</v>
      </c>
      <c r="M75" s="5">
        <v>3</v>
      </c>
      <c r="N75" s="5" t="s">
        <v>3</v>
      </c>
      <c r="O75" s="5">
        <v>2</v>
      </c>
      <c r="P75" s="5">
        <f>ROUND(Source!EQ67,O75)</f>
        <v>303181.51</v>
      </c>
      <c r="Q75" s="5"/>
      <c r="R75" s="5"/>
      <c r="S75" s="5"/>
      <c r="T75" s="5"/>
      <c r="U75" s="5"/>
      <c r="V75" s="5"/>
      <c r="W75" s="5"/>
      <c r="IF75">
        <v>-1</v>
      </c>
    </row>
    <row r="76" spans="1:245" x14ac:dyDescent="0.2">
      <c r="A76" s="5">
        <v>50</v>
      </c>
      <c r="B76" s="5">
        <v>0</v>
      </c>
      <c r="C76" s="5">
        <v>0</v>
      </c>
      <c r="D76" s="5">
        <v>1</v>
      </c>
      <c r="E76" s="5">
        <v>216</v>
      </c>
      <c r="F76" s="5">
        <f>ROUND(Source!AP67,O76)</f>
        <v>0</v>
      </c>
      <c r="G76" s="5" t="s">
        <v>124</v>
      </c>
      <c r="H76" s="5" t="s">
        <v>125</v>
      </c>
      <c r="I76" s="5"/>
      <c r="J76" s="5"/>
      <c r="K76" s="5">
        <v>216</v>
      </c>
      <c r="L76" s="5">
        <v>8</v>
      </c>
      <c r="M76" s="5">
        <v>3</v>
      </c>
      <c r="N76" s="5" t="s">
        <v>3</v>
      </c>
      <c r="O76" s="5">
        <v>2</v>
      </c>
      <c r="P76" s="5">
        <f>ROUND(Source!EH67,O76)</f>
        <v>0</v>
      </c>
      <c r="Q76" s="5"/>
      <c r="R76" s="5"/>
      <c r="S76" s="5"/>
      <c r="T76" s="5"/>
      <c r="U76" s="5"/>
      <c r="V76" s="5"/>
      <c r="W76" s="5"/>
      <c r="IF76">
        <v>-1</v>
      </c>
    </row>
    <row r="77" spans="1:245" x14ac:dyDescent="0.2">
      <c r="A77" s="5">
        <v>50</v>
      </c>
      <c r="B77" s="5">
        <v>0</v>
      </c>
      <c r="C77" s="5">
        <v>0</v>
      </c>
      <c r="D77" s="5">
        <v>1</v>
      </c>
      <c r="E77" s="5">
        <v>223</v>
      </c>
      <c r="F77" s="5">
        <f>ROUND(Source!AQ67,O77)</f>
        <v>0</v>
      </c>
      <c r="G77" s="5" t="s">
        <v>126</v>
      </c>
      <c r="H77" s="5" t="s">
        <v>127</v>
      </c>
      <c r="I77" s="5"/>
      <c r="J77" s="5"/>
      <c r="K77" s="5">
        <v>223</v>
      </c>
      <c r="L77" s="5">
        <v>9</v>
      </c>
      <c r="M77" s="5">
        <v>3</v>
      </c>
      <c r="N77" s="5" t="s">
        <v>3</v>
      </c>
      <c r="O77" s="5">
        <v>2</v>
      </c>
      <c r="P77" s="5">
        <f>ROUND(Source!EI67,O77)</f>
        <v>0</v>
      </c>
      <c r="Q77" s="5"/>
      <c r="R77" s="5"/>
      <c r="S77" s="5"/>
      <c r="T77" s="5"/>
      <c r="U77" s="5"/>
      <c r="V77" s="5"/>
      <c r="W77" s="5"/>
      <c r="IF77">
        <v>-1</v>
      </c>
    </row>
    <row r="78" spans="1:245" x14ac:dyDescent="0.2">
      <c r="A78" s="5">
        <v>50</v>
      </c>
      <c r="B78" s="5">
        <v>0</v>
      </c>
      <c r="C78" s="5">
        <v>0</v>
      </c>
      <c r="D78" s="5">
        <v>1</v>
      </c>
      <c r="E78" s="5">
        <v>229</v>
      </c>
      <c r="F78" s="5">
        <f>ROUND(Source!AZ67,O78)</f>
        <v>0</v>
      </c>
      <c r="G78" s="5" t="s">
        <v>128</v>
      </c>
      <c r="H78" s="5" t="s">
        <v>129</v>
      </c>
      <c r="I78" s="5"/>
      <c r="J78" s="5"/>
      <c r="K78" s="5">
        <v>229</v>
      </c>
      <c r="L78" s="5">
        <v>10</v>
      </c>
      <c r="M78" s="5">
        <v>3</v>
      </c>
      <c r="N78" s="5" t="s">
        <v>3</v>
      </c>
      <c r="O78" s="5">
        <v>2</v>
      </c>
      <c r="P78" s="5">
        <f>ROUND(Source!ER67,O78)</f>
        <v>0</v>
      </c>
      <c r="Q78" s="5"/>
      <c r="R78" s="5"/>
      <c r="S78" s="5"/>
      <c r="T78" s="5"/>
      <c r="U78" s="5"/>
      <c r="V78" s="5"/>
      <c r="W78" s="5"/>
      <c r="IF78">
        <v>-1</v>
      </c>
    </row>
    <row r="79" spans="1:245" x14ac:dyDescent="0.2">
      <c r="A79" s="5">
        <v>50</v>
      </c>
      <c r="B79" s="5">
        <v>0</v>
      </c>
      <c r="C79" s="5">
        <v>0</v>
      </c>
      <c r="D79" s="5">
        <v>1</v>
      </c>
      <c r="E79" s="5">
        <v>203</v>
      </c>
      <c r="F79" s="5">
        <f>ROUND(Source!Q67,O79)</f>
        <v>2615.02</v>
      </c>
      <c r="G79" s="5" t="s">
        <v>130</v>
      </c>
      <c r="H79" s="5" t="s">
        <v>131</v>
      </c>
      <c r="I79" s="5"/>
      <c r="J79" s="5"/>
      <c r="K79" s="5">
        <v>203</v>
      </c>
      <c r="L79" s="5">
        <v>11</v>
      </c>
      <c r="M79" s="5">
        <v>3</v>
      </c>
      <c r="N79" s="5" t="s">
        <v>3</v>
      </c>
      <c r="O79" s="5">
        <v>2</v>
      </c>
      <c r="P79" s="5">
        <f>ROUND(Source!DI67,O79)</f>
        <v>32687.7</v>
      </c>
      <c r="Q79" s="5"/>
      <c r="R79" s="5"/>
      <c r="S79" s="5"/>
      <c r="T79" s="5"/>
      <c r="U79" s="5"/>
      <c r="V79" s="5"/>
      <c r="W79" s="5"/>
      <c r="IF79">
        <v>-1</v>
      </c>
    </row>
    <row r="80" spans="1:245" x14ac:dyDescent="0.2">
      <c r="A80" s="5">
        <v>50</v>
      </c>
      <c r="B80" s="5">
        <v>0</v>
      </c>
      <c r="C80" s="5">
        <v>0</v>
      </c>
      <c r="D80" s="5">
        <v>1</v>
      </c>
      <c r="E80" s="5">
        <v>231</v>
      </c>
      <c r="F80" s="5">
        <f>ROUND(Source!BB67,O80)</f>
        <v>0</v>
      </c>
      <c r="G80" s="5" t="s">
        <v>132</v>
      </c>
      <c r="H80" s="5" t="s">
        <v>133</v>
      </c>
      <c r="I80" s="5"/>
      <c r="J80" s="5"/>
      <c r="K80" s="5">
        <v>231</v>
      </c>
      <c r="L80" s="5">
        <v>12</v>
      </c>
      <c r="M80" s="5">
        <v>3</v>
      </c>
      <c r="N80" s="5" t="s">
        <v>3</v>
      </c>
      <c r="O80" s="5">
        <v>2</v>
      </c>
      <c r="P80" s="5">
        <f>ROUND(Source!ET67,O80)</f>
        <v>0</v>
      </c>
      <c r="Q80" s="5"/>
      <c r="R80" s="5"/>
      <c r="S80" s="5"/>
      <c r="T80" s="5"/>
      <c r="U80" s="5"/>
      <c r="V80" s="5"/>
      <c r="W80" s="5"/>
      <c r="IF80">
        <v>-1</v>
      </c>
    </row>
    <row r="81" spans="1:240" x14ac:dyDescent="0.2">
      <c r="A81" s="5">
        <v>50</v>
      </c>
      <c r="B81" s="5">
        <v>0</v>
      </c>
      <c r="C81" s="5">
        <v>0</v>
      </c>
      <c r="D81" s="5">
        <v>1</v>
      </c>
      <c r="E81" s="5">
        <v>204</v>
      </c>
      <c r="F81" s="5">
        <f>ROUND(Source!R67,O81)</f>
        <v>198.01</v>
      </c>
      <c r="G81" s="5" t="s">
        <v>134</v>
      </c>
      <c r="H81" s="5" t="s">
        <v>135</v>
      </c>
      <c r="I81" s="5"/>
      <c r="J81" s="5"/>
      <c r="K81" s="5">
        <v>204</v>
      </c>
      <c r="L81" s="5">
        <v>13</v>
      </c>
      <c r="M81" s="5">
        <v>3</v>
      </c>
      <c r="N81" s="5" t="s">
        <v>3</v>
      </c>
      <c r="O81" s="5">
        <v>2</v>
      </c>
      <c r="P81" s="5">
        <f>ROUND(Source!DJ67,O81)</f>
        <v>2475.09</v>
      </c>
      <c r="Q81" s="5"/>
      <c r="R81" s="5"/>
      <c r="S81" s="5"/>
      <c r="T81" s="5"/>
      <c r="U81" s="5"/>
      <c r="V81" s="5"/>
      <c r="W81" s="5"/>
      <c r="IF81">
        <v>-1</v>
      </c>
    </row>
    <row r="82" spans="1:240" x14ac:dyDescent="0.2">
      <c r="A82" s="5">
        <v>50</v>
      </c>
      <c r="B82" s="5">
        <v>0</v>
      </c>
      <c r="C82" s="5">
        <v>0</v>
      </c>
      <c r="D82" s="5">
        <v>1</v>
      </c>
      <c r="E82" s="5">
        <v>205</v>
      </c>
      <c r="F82" s="5">
        <f>ROUND(Source!S67,O82)</f>
        <v>523.89</v>
      </c>
      <c r="G82" s="5" t="s">
        <v>136</v>
      </c>
      <c r="H82" s="5" t="s">
        <v>137</v>
      </c>
      <c r="I82" s="5"/>
      <c r="J82" s="5"/>
      <c r="K82" s="5">
        <v>205</v>
      </c>
      <c r="L82" s="5">
        <v>14</v>
      </c>
      <c r="M82" s="5">
        <v>3</v>
      </c>
      <c r="N82" s="5" t="s">
        <v>3</v>
      </c>
      <c r="O82" s="5">
        <v>2</v>
      </c>
      <c r="P82" s="5">
        <f>ROUND(Source!DK67,O82)</f>
        <v>6668.9</v>
      </c>
      <c r="Q82" s="5"/>
      <c r="R82" s="5"/>
      <c r="S82" s="5"/>
      <c r="T82" s="5"/>
      <c r="U82" s="5"/>
      <c r="V82" s="5"/>
      <c r="W82" s="5"/>
      <c r="IF82">
        <v>-1</v>
      </c>
    </row>
    <row r="83" spans="1:240" x14ac:dyDescent="0.2">
      <c r="A83" s="5">
        <v>50</v>
      </c>
      <c r="B83" s="5">
        <v>0</v>
      </c>
      <c r="C83" s="5">
        <v>0</v>
      </c>
      <c r="D83" s="5">
        <v>1</v>
      </c>
      <c r="E83" s="5">
        <v>232</v>
      </c>
      <c r="F83" s="5">
        <f>ROUND(Source!BC67,O83)</f>
        <v>0</v>
      </c>
      <c r="G83" s="5" t="s">
        <v>138</v>
      </c>
      <c r="H83" s="5" t="s">
        <v>139</v>
      </c>
      <c r="I83" s="5"/>
      <c r="J83" s="5"/>
      <c r="K83" s="5">
        <v>232</v>
      </c>
      <c r="L83" s="5">
        <v>15</v>
      </c>
      <c r="M83" s="5">
        <v>3</v>
      </c>
      <c r="N83" s="5" t="s">
        <v>3</v>
      </c>
      <c r="O83" s="5">
        <v>2</v>
      </c>
      <c r="P83" s="5">
        <f>ROUND(Source!EU67,O83)</f>
        <v>0</v>
      </c>
      <c r="Q83" s="5"/>
      <c r="R83" s="5"/>
      <c r="S83" s="5"/>
      <c r="T83" s="5"/>
      <c r="U83" s="5"/>
      <c r="V83" s="5"/>
      <c r="W83" s="5"/>
      <c r="IF83">
        <v>-1</v>
      </c>
    </row>
    <row r="84" spans="1:240" x14ac:dyDescent="0.2">
      <c r="A84" s="5">
        <v>50</v>
      </c>
      <c r="B84" s="5">
        <v>0</v>
      </c>
      <c r="C84" s="5">
        <v>0</v>
      </c>
      <c r="D84" s="5">
        <v>1</v>
      </c>
      <c r="E84" s="5">
        <v>214</v>
      </c>
      <c r="F84" s="5">
        <f>ROUND(Source!AS67,O84)</f>
        <v>28173.4</v>
      </c>
      <c r="G84" s="5" t="s">
        <v>140</v>
      </c>
      <c r="H84" s="5" t="s">
        <v>141</v>
      </c>
      <c r="I84" s="5"/>
      <c r="J84" s="5"/>
      <c r="K84" s="5">
        <v>214</v>
      </c>
      <c r="L84" s="5">
        <v>16</v>
      </c>
      <c r="M84" s="5">
        <v>3</v>
      </c>
      <c r="N84" s="5" t="s">
        <v>3</v>
      </c>
      <c r="O84" s="5">
        <v>2</v>
      </c>
      <c r="P84" s="5">
        <f>ROUND(Source!EK67,O84)</f>
        <v>352167.29</v>
      </c>
      <c r="Q84" s="5"/>
      <c r="R84" s="5"/>
      <c r="S84" s="5"/>
      <c r="T84" s="5"/>
      <c r="U84" s="5"/>
      <c r="V84" s="5"/>
      <c r="W84" s="5"/>
      <c r="IF84">
        <v>-1</v>
      </c>
    </row>
    <row r="85" spans="1:240" x14ac:dyDescent="0.2">
      <c r="A85" s="5">
        <v>50</v>
      </c>
      <c r="B85" s="5">
        <v>0</v>
      </c>
      <c r="C85" s="5">
        <v>0</v>
      </c>
      <c r="D85" s="5">
        <v>1</v>
      </c>
      <c r="E85" s="5">
        <v>215</v>
      </c>
      <c r="F85" s="5">
        <f>ROUND(Source!AT67,O85)</f>
        <v>340.11</v>
      </c>
      <c r="G85" s="5" t="s">
        <v>142</v>
      </c>
      <c r="H85" s="5" t="s">
        <v>143</v>
      </c>
      <c r="I85" s="5"/>
      <c r="J85" s="5"/>
      <c r="K85" s="5">
        <v>215</v>
      </c>
      <c r="L85" s="5">
        <v>17</v>
      </c>
      <c r="M85" s="5">
        <v>3</v>
      </c>
      <c r="N85" s="5" t="s">
        <v>3</v>
      </c>
      <c r="O85" s="5">
        <v>2</v>
      </c>
      <c r="P85" s="5">
        <f>ROUND(Source!EL67,O85)</f>
        <v>4250.97</v>
      </c>
      <c r="Q85" s="5"/>
      <c r="R85" s="5"/>
      <c r="S85" s="5"/>
      <c r="T85" s="5"/>
      <c r="U85" s="5"/>
      <c r="V85" s="5"/>
      <c r="W85" s="5"/>
      <c r="IF85">
        <v>-1</v>
      </c>
    </row>
    <row r="86" spans="1:240" x14ac:dyDescent="0.2">
      <c r="A86" s="5">
        <v>50</v>
      </c>
      <c r="B86" s="5">
        <v>0</v>
      </c>
      <c r="C86" s="5">
        <v>0</v>
      </c>
      <c r="D86" s="5">
        <v>1</v>
      </c>
      <c r="E86" s="5">
        <v>217</v>
      </c>
      <c r="F86" s="5">
        <f>ROUND(Source!AU67,O86)</f>
        <v>42.54</v>
      </c>
      <c r="G86" s="5" t="s">
        <v>144</v>
      </c>
      <c r="H86" s="5" t="s">
        <v>145</v>
      </c>
      <c r="I86" s="5"/>
      <c r="J86" s="5"/>
      <c r="K86" s="5">
        <v>217</v>
      </c>
      <c r="L86" s="5">
        <v>18</v>
      </c>
      <c r="M86" s="5">
        <v>3</v>
      </c>
      <c r="N86" s="5" t="s">
        <v>3</v>
      </c>
      <c r="O86" s="5">
        <v>2</v>
      </c>
      <c r="P86" s="5">
        <f>ROUND(Source!EM67,O86)</f>
        <v>778.44</v>
      </c>
      <c r="Q86" s="5"/>
      <c r="R86" s="5"/>
      <c r="S86" s="5"/>
      <c r="T86" s="5"/>
      <c r="U86" s="5"/>
      <c r="V86" s="5"/>
      <c r="W86" s="5"/>
      <c r="IF86">
        <v>-1</v>
      </c>
    </row>
    <row r="87" spans="1:240" x14ac:dyDescent="0.2">
      <c r="A87" s="5">
        <v>50</v>
      </c>
      <c r="B87" s="5">
        <v>0</v>
      </c>
      <c r="C87" s="5">
        <v>0</v>
      </c>
      <c r="D87" s="5">
        <v>1</v>
      </c>
      <c r="E87" s="5">
        <v>230</v>
      </c>
      <c r="F87" s="5">
        <f>ROUND(Source!BA67,O87)</f>
        <v>0</v>
      </c>
      <c r="G87" s="5" t="s">
        <v>146</v>
      </c>
      <c r="H87" s="5" t="s">
        <v>147</v>
      </c>
      <c r="I87" s="5"/>
      <c r="J87" s="5"/>
      <c r="K87" s="5">
        <v>230</v>
      </c>
      <c r="L87" s="5">
        <v>19</v>
      </c>
      <c r="M87" s="5">
        <v>3</v>
      </c>
      <c r="N87" s="5" t="s">
        <v>3</v>
      </c>
      <c r="O87" s="5">
        <v>2</v>
      </c>
      <c r="P87" s="5">
        <f>ROUND(Source!ES67,O87)</f>
        <v>0</v>
      </c>
      <c r="Q87" s="5"/>
      <c r="R87" s="5"/>
      <c r="S87" s="5"/>
      <c r="T87" s="5"/>
      <c r="U87" s="5"/>
      <c r="V87" s="5"/>
      <c r="W87" s="5"/>
      <c r="IF87">
        <v>-1</v>
      </c>
    </row>
    <row r="88" spans="1:240" x14ac:dyDescent="0.2">
      <c r="A88" s="5">
        <v>50</v>
      </c>
      <c r="B88" s="5">
        <v>0</v>
      </c>
      <c r="C88" s="5">
        <v>0</v>
      </c>
      <c r="D88" s="5">
        <v>1</v>
      </c>
      <c r="E88" s="5">
        <v>206</v>
      </c>
      <c r="F88" s="5">
        <f>ROUND(Source!T67,O88)</f>
        <v>0</v>
      </c>
      <c r="G88" s="5" t="s">
        <v>148</v>
      </c>
      <c r="H88" s="5" t="s">
        <v>149</v>
      </c>
      <c r="I88" s="5"/>
      <c r="J88" s="5"/>
      <c r="K88" s="5">
        <v>206</v>
      </c>
      <c r="L88" s="5">
        <v>20</v>
      </c>
      <c r="M88" s="5">
        <v>3</v>
      </c>
      <c r="N88" s="5" t="s">
        <v>3</v>
      </c>
      <c r="O88" s="5">
        <v>2</v>
      </c>
      <c r="P88" s="5">
        <f>ROUND(Source!DL67,O88)</f>
        <v>0</v>
      </c>
      <c r="Q88" s="5"/>
      <c r="R88" s="5"/>
      <c r="S88" s="5"/>
      <c r="T88" s="5"/>
      <c r="U88" s="5"/>
      <c r="V88" s="5"/>
      <c r="W88" s="5"/>
      <c r="IF88">
        <v>-1</v>
      </c>
    </row>
    <row r="89" spans="1:240" x14ac:dyDescent="0.2">
      <c r="A89" s="5">
        <v>50</v>
      </c>
      <c r="B89" s="5">
        <v>0</v>
      </c>
      <c r="C89" s="5">
        <v>0</v>
      </c>
      <c r="D89" s="5">
        <v>1</v>
      </c>
      <c r="E89" s="5">
        <v>207</v>
      </c>
      <c r="F89" s="5">
        <f>Source!U67</f>
        <v>53.182400000000001</v>
      </c>
      <c r="G89" s="5" t="s">
        <v>150</v>
      </c>
      <c r="H89" s="5" t="s">
        <v>151</v>
      </c>
      <c r="I89" s="5"/>
      <c r="J89" s="5"/>
      <c r="K89" s="5">
        <v>207</v>
      </c>
      <c r="L89" s="5">
        <v>21</v>
      </c>
      <c r="M89" s="5">
        <v>3</v>
      </c>
      <c r="N89" s="5" t="s">
        <v>3</v>
      </c>
      <c r="O89" s="5">
        <v>-1</v>
      </c>
      <c r="P89" s="5">
        <f>Source!DM67</f>
        <v>53.182400000000001</v>
      </c>
      <c r="Q89" s="5"/>
      <c r="R89" s="5"/>
      <c r="S89" s="5"/>
      <c r="T89" s="5"/>
      <c r="U89" s="5"/>
      <c r="V89" s="5"/>
      <c r="W89" s="5"/>
      <c r="IF89">
        <v>-1</v>
      </c>
    </row>
    <row r="90" spans="1:240" x14ac:dyDescent="0.2">
      <c r="A90" s="5">
        <v>50</v>
      </c>
      <c r="B90" s="5">
        <v>0</v>
      </c>
      <c r="C90" s="5">
        <v>0</v>
      </c>
      <c r="D90" s="5">
        <v>1</v>
      </c>
      <c r="E90" s="5">
        <v>208</v>
      </c>
      <c r="F90" s="5">
        <f>Source!V67</f>
        <v>16.384500000000003</v>
      </c>
      <c r="G90" s="5" t="s">
        <v>152</v>
      </c>
      <c r="H90" s="5" t="s">
        <v>153</v>
      </c>
      <c r="I90" s="5"/>
      <c r="J90" s="5"/>
      <c r="K90" s="5">
        <v>208</v>
      </c>
      <c r="L90" s="5">
        <v>22</v>
      </c>
      <c r="M90" s="5">
        <v>3</v>
      </c>
      <c r="N90" s="5" t="s">
        <v>3</v>
      </c>
      <c r="O90" s="5">
        <v>-1</v>
      </c>
      <c r="P90" s="5">
        <f>Source!DN67</f>
        <v>16.384500000000003</v>
      </c>
      <c r="Q90" s="5"/>
      <c r="R90" s="5"/>
      <c r="S90" s="5"/>
      <c r="T90" s="5"/>
      <c r="U90" s="5"/>
      <c r="V90" s="5"/>
      <c r="W90" s="5"/>
      <c r="IF90">
        <v>-1</v>
      </c>
    </row>
    <row r="91" spans="1:240" x14ac:dyDescent="0.2">
      <c r="A91" s="5">
        <v>50</v>
      </c>
      <c r="B91" s="5">
        <v>0</v>
      </c>
      <c r="C91" s="5">
        <v>0</v>
      </c>
      <c r="D91" s="5">
        <v>1</v>
      </c>
      <c r="E91" s="5">
        <v>209</v>
      </c>
      <c r="F91" s="5">
        <f>ROUND(Source!W67,O91)</f>
        <v>0</v>
      </c>
      <c r="G91" s="5" t="s">
        <v>154</v>
      </c>
      <c r="H91" s="5" t="s">
        <v>155</v>
      </c>
      <c r="I91" s="5"/>
      <c r="J91" s="5"/>
      <c r="K91" s="5">
        <v>209</v>
      </c>
      <c r="L91" s="5">
        <v>23</v>
      </c>
      <c r="M91" s="5">
        <v>3</v>
      </c>
      <c r="N91" s="5" t="s">
        <v>3</v>
      </c>
      <c r="O91" s="5">
        <v>2</v>
      </c>
      <c r="P91" s="5">
        <f>ROUND(Source!DO67,O91)</f>
        <v>0</v>
      </c>
      <c r="Q91" s="5"/>
      <c r="R91" s="5"/>
      <c r="S91" s="5"/>
      <c r="T91" s="5"/>
      <c r="U91" s="5"/>
      <c r="V91" s="5"/>
      <c r="W91" s="5"/>
      <c r="IF91">
        <v>-1</v>
      </c>
    </row>
    <row r="92" spans="1:240" x14ac:dyDescent="0.2">
      <c r="A92" s="5">
        <v>50</v>
      </c>
      <c r="B92" s="5">
        <v>0</v>
      </c>
      <c r="C92" s="5">
        <v>0</v>
      </c>
      <c r="D92" s="5">
        <v>1</v>
      </c>
      <c r="E92" s="5">
        <v>210</v>
      </c>
      <c r="F92" s="5">
        <f>ROUND(Source!X67,O92)</f>
        <v>720.84</v>
      </c>
      <c r="G92" s="5" t="s">
        <v>156</v>
      </c>
      <c r="H92" s="5" t="s">
        <v>157</v>
      </c>
      <c r="I92" s="5"/>
      <c r="J92" s="5"/>
      <c r="K92" s="5">
        <v>210</v>
      </c>
      <c r="L92" s="5">
        <v>24</v>
      </c>
      <c r="M92" s="5">
        <v>3</v>
      </c>
      <c r="N92" s="5" t="s">
        <v>3</v>
      </c>
      <c r="O92" s="5">
        <v>2</v>
      </c>
      <c r="P92" s="5">
        <f>ROUND(Source!DP67,O92)</f>
        <v>9088.41</v>
      </c>
      <c r="Q92" s="5"/>
      <c r="R92" s="5"/>
      <c r="S92" s="5"/>
      <c r="T92" s="5"/>
      <c r="U92" s="5"/>
      <c r="V92" s="5"/>
      <c r="W92" s="5"/>
      <c r="IF92">
        <v>-1</v>
      </c>
    </row>
    <row r="93" spans="1:240" x14ac:dyDescent="0.2">
      <c r="A93" s="5">
        <v>50</v>
      </c>
      <c r="B93" s="5">
        <v>0</v>
      </c>
      <c r="C93" s="5">
        <v>0</v>
      </c>
      <c r="D93" s="5">
        <v>1</v>
      </c>
      <c r="E93" s="5">
        <v>211</v>
      </c>
      <c r="F93" s="5">
        <f>ROUND(Source!Y67,O93)</f>
        <v>441.78</v>
      </c>
      <c r="G93" s="5" t="s">
        <v>158</v>
      </c>
      <c r="H93" s="5" t="s">
        <v>159</v>
      </c>
      <c r="I93" s="5"/>
      <c r="J93" s="5"/>
      <c r="K93" s="5">
        <v>211</v>
      </c>
      <c r="L93" s="5">
        <v>25</v>
      </c>
      <c r="M93" s="5">
        <v>3</v>
      </c>
      <c r="N93" s="5" t="s">
        <v>3</v>
      </c>
      <c r="O93" s="5">
        <v>2</v>
      </c>
      <c r="P93" s="5">
        <f>ROUND(Source!DQ67,O93)</f>
        <v>5570.18</v>
      </c>
      <c r="Q93" s="5"/>
      <c r="R93" s="5"/>
      <c r="S93" s="5"/>
      <c r="T93" s="5"/>
      <c r="U93" s="5"/>
      <c r="V93" s="5"/>
      <c r="W93" s="5"/>
      <c r="IF93">
        <v>-1</v>
      </c>
    </row>
    <row r="94" spans="1:240" x14ac:dyDescent="0.2">
      <c r="A94" s="5">
        <v>50</v>
      </c>
      <c r="B94" s="5">
        <v>0</v>
      </c>
      <c r="C94" s="5">
        <v>0</v>
      </c>
      <c r="D94" s="5">
        <v>1</v>
      </c>
      <c r="E94" s="5">
        <v>224</v>
      </c>
      <c r="F94" s="5">
        <f>ROUND(Source!AR67,O94)</f>
        <v>28556.05</v>
      </c>
      <c r="G94" s="5" t="s">
        <v>160</v>
      </c>
      <c r="H94" s="5" t="s">
        <v>161</v>
      </c>
      <c r="I94" s="5"/>
      <c r="J94" s="5"/>
      <c r="K94" s="5">
        <v>224</v>
      </c>
      <c r="L94" s="5">
        <v>26</v>
      </c>
      <c r="M94" s="5">
        <v>3</v>
      </c>
      <c r="N94" s="5" t="s">
        <v>3</v>
      </c>
      <c r="O94" s="5">
        <v>2</v>
      </c>
      <c r="P94" s="5">
        <f>ROUND(Source!EJ67,O94)</f>
        <v>357196.7</v>
      </c>
      <c r="Q94" s="5"/>
      <c r="R94" s="5"/>
      <c r="S94" s="5"/>
      <c r="T94" s="5"/>
      <c r="U94" s="5"/>
      <c r="V94" s="5"/>
      <c r="W94" s="5"/>
      <c r="IF94">
        <v>-1</v>
      </c>
    </row>
    <row r="95" spans="1:240" x14ac:dyDescent="0.2">
      <c r="IF95">
        <v>-1</v>
      </c>
    </row>
    <row r="96" spans="1:240" x14ac:dyDescent="0.2">
      <c r="A96" s="3">
        <v>51</v>
      </c>
      <c r="B96" s="3">
        <f>B12</f>
        <v>159</v>
      </c>
      <c r="C96" s="3">
        <f>A12</f>
        <v>1</v>
      </c>
      <c r="D96" s="3">
        <f>ROW(A12)</f>
        <v>12</v>
      </c>
      <c r="E96" s="3"/>
      <c r="F96" s="3" t="str">
        <f>IF(F12&lt;&gt;"",F12,"")</f>
        <v>Новый объект</v>
      </c>
      <c r="G96" s="3" t="str">
        <f>IF(G12&lt;&gt;"",G12,"")</f>
        <v>Установка ПКУ В РУ-10 кВ ТП514</v>
      </c>
      <c r="H96" s="3">
        <v>0</v>
      </c>
      <c r="I96" s="3"/>
      <c r="J96" s="3"/>
      <c r="K96" s="3"/>
      <c r="L96" s="3"/>
      <c r="M96" s="3"/>
      <c r="N96" s="3"/>
      <c r="O96" s="3">
        <f t="shared" ref="O96:T96" si="58">ROUND(O67,2)</f>
        <v>27393.43</v>
      </c>
      <c r="P96" s="3">
        <f t="shared" si="58"/>
        <v>24254.52</v>
      </c>
      <c r="Q96" s="3">
        <f t="shared" si="58"/>
        <v>2615.02</v>
      </c>
      <c r="R96" s="3">
        <f t="shared" si="58"/>
        <v>198.01</v>
      </c>
      <c r="S96" s="3">
        <f t="shared" si="58"/>
        <v>523.89</v>
      </c>
      <c r="T96" s="3">
        <f t="shared" si="58"/>
        <v>0</v>
      </c>
      <c r="U96" s="3">
        <f>U67</f>
        <v>53.182400000000001</v>
      </c>
      <c r="V96" s="3">
        <f>V67</f>
        <v>16.384500000000003</v>
      </c>
      <c r="W96" s="3">
        <f>ROUND(W67,2)</f>
        <v>0</v>
      </c>
      <c r="X96" s="3">
        <f>ROUND(X67,2)</f>
        <v>720.84</v>
      </c>
      <c r="Y96" s="3">
        <f>ROUND(Y67,2)</f>
        <v>441.78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>
        <f t="shared" ref="AO96:BC96" si="59">ROUND(AO67,2)</f>
        <v>0</v>
      </c>
      <c r="AP96" s="3">
        <f t="shared" si="59"/>
        <v>0</v>
      </c>
      <c r="AQ96" s="3">
        <f t="shared" si="59"/>
        <v>0</v>
      </c>
      <c r="AR96" s="3">
        <f t="shared" si="59"/>
        <v>28556.05</v>
      </c>
      <c r="AS96" s="3">
        <f t="shared" si="59"/>
        <v>28173.4</v>
      </c>
      <c r="AT96" s="3">
        <f t="shared" si="59"/>
        <v>340.11</v>
      </c>
      <c r="AU96" s="3">
        <f t="shared" si="59"/>
        <v>42.54</v>
      </c>
      <c r="AV96" s="3">
        <f t="shared" si="59"/>
        <v>24254.52</v>
      </c>
      <c r="AW96" s="3">
        <f t="shared" si="59"/>
        <v>24254.52</v>
      </c>
      <c r="AX96" s="3">
        <f t="shared" si="59"/>
        <v>0</v>
      </c>
      <c r="AY96" s="3">
        <f t="shared" si="59"/>
        <v>24254.52</v>
      </c>
      <c r="AZ96" s="3">
        <f t="shared" si="59"/>
        <v>0</v>
      </c>
      <c r="BA96" s="3">
        <f t="shared" si="59"/>
        <v>0</v>
      </c>
      <c r="BB96" s="3">
        <f t="shared" si="59"/>
        <v>0</v>
      </c>
      <c r="BC96" s="3">
        <f t="shared" si="59"/>
        <v>0</v>
      </c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4">
        <f t="shared" ref="DG96:DL96" si="60">ROUND(DG67,2)</f>
        <v>342538.11</v>
      </c>
      <c r="DH96" s="4">
        <f t="shared" si="60"/>
        <v>303181.51</v>
      </c>
      <c r="DI96" s="4">
        <f t="shared" si="60"/>
        <v>32687.7</v>
      </c>
      <c r="DJ96" s="4">
        <f t="shared" si="60"/>
        <v>2475.09</v>
      </c>
      <c r="DK96" s="4">
        <f t="shared" si="60"/>
        <v>6668.9</v>
      </c>
      <c r="DL96" s="4">
        <f t="shared" si="60"/>
        <v>0</v>
      </c>
      <c r="DM96" s="4">
        <f>DM67</f>
        <v>53.182400000000001</v>
      </c>
      <c r="DN96" s="4">
        <f>DN67</f>
        <v>16.384500000000003</v>
      </c>
      <c r="DO96" s="4">
        <f>ROUND(DO67,2)</f>
        <v>0</v>
      </c>
      <c r="DP96" s="4">
        <f>ROUND(DP67,2)</f>
        <v>9088.41</v>
      </c>
      <c r="DQ96" s="4">
        <f>ROUND(DQ67,2)</f>
        <v>5570.18</v>
      </c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>
        <f t="shared" ref="EG96:EU96" si="61">ROUND(EG67,2)</f>
        <v>0</v>
      </c>
      <c r="EH96" s="4">
        <f t="shared" si="61"/>
        <v>0</v>
      </c>
      <c r="EI96" s="4">
        <f t="shared" si="61"/>
        <v>0</v>
      </c>
      <c r="EJ96" s="4">
        <f t="shared" si="61"/>
        <v>357196.7</v>
      </c>
      <c r="EK96" s="4">
        <f t="shared" si="61"/>
        <v>352167.29</v>
      </c>
      <c r="EL96" s="4">
        <f t="shared" si="61"/>
        <v>4250.97</v>
      </c>
      <c r="EM96" s="4">
        <f t="shared" si="61"/>
        <v>778.44</v>
      </c>
      <c r="EN96" s="4">
        <f t="shared" si="61"/>
        <v>303181.51</v>
      </c>
      <c r="EO96" s="4">
        <f t="shared" si="61"/>
        <v>303181.51</v>
      </c>
      <c r="EP96" s="4">
        <f t="shared" si="61"/>
        <v>0</v>
      </c>
      <c r="EQ96" s="4">
        <f t="shared" si="61"/>
        <v>303181.51</v>
      </c>
      <c r="ER96" s="4">
        <f t="shared" si="61"/>
        <v>0</v>
      </c>
      <c r="ES96" s="4">
        <f t="shared" si="61"/>
        <v>0</v>
      </c>
      <c r="ET96" s="4">
        <f t="shared" si="61"/>
        <v>0</v>
      </c>
      <c r="EU96" s="4">
        <f t="shared" si="61"/>
        <v>0</v>
      </c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>
        <v>0</v>
      </c>
      <c r="IF96">
        <v>-1</v>
      </c>
    </row>
    <row r="97" spans="1:240" x14ac:dyDescent="0.2">
      <c r="IF97">
        <v>-1</v>
      </c>
    </row>
    <row r="98" spans="1:240" x14ac:dyDescent="0.2">
      <c r="A98" s="5">
        <v>50</v>
      </c>
      <c r="B98" s="5">
        <v>0</v>
      </c>
      <c r="C98" s="5">
        <v>0</v>
      </c>
      <c r="D98" s="5">
        <v>1</v>
      </c>
      <c r="E98" s="5">
        <v>201</v>
      </c>
      <c r="F98" s="5">
        <f>ROUND(Source!O96,O98)</f>
        <v>27393.43</v>
      </c>
      <c r="G98" s="5" t="s">
        <v>110</v>
      </c>
      <c r="H98" s="5" t="s">
        <v>111</v>
      </c>
      <c r="I98" s="5"/>
      <c r="J98" s="5"/>
      <c r="K98" s="5">
        <v>201</v>
      </c>
      <c r="L98" s="5">
        <v>1</v>
      </c>
      <c r="M98" s="5">
        <v>3</v>
      </c>
      <c r="N98" s="5" t="s">
        <v>3</v>
      </c>
      <c r="O98" s="5">
        <v>2</v>
      </c>
      <c r="P98" s="5">
        <f>ROUND(Source!DG96,O98)</f>
        <v>342538.11</v>
      </c>
      <c r="Q98" s="5"/>
      <c r="R98" s="5"/>
      <c r="S98" s="5"/>
      <c r="T98" s="5"/>
      <c r="U98" s="5"/>
      <c r="V98" s="5"/>
      <c r="W98" s="5"/>
      <c r="IF98">
        <v>-1</v>
      </c>
    </row>
    <row r="99" spans="1:240" x14ac:dyDescent="0.2">
      <c r="A99" s="5">
        <v>50</v>
      </c>
      <c r="B99" s="5">
        <v>0</v>
      </c>
      <c r="C99" s="5">
        <v>0</v>
      </c>
      <c r="D99" s="5">
        <v>1</v>
      </c>
      <c r="E99" s="5">
        <v>202</v>
      </c>
      <c r="F99" s="5">
        <f>ROUND(Source!P96,O99)</f>
        <v>24254.52</v>
      </c>
      <c r="G99" s="5" t="s">
        <v>112</v>
      </c>
      <c r="H99" s="5" t="s">
        <v>113</v>
      </c>
      <c r="I99" s="5"/>
      <c r="J99" s="5"/>
      <c r="K99" s="5">
        <v>202</v>
      </c>
      <c r="L99" s="5">
        <v>2</v>
      </c>
      <c r="M99" s="5">
        <v>3</v>
      </c>
      <c r="N99" s="5" t="s">
        <v>3</v>
      </c>
      <c r="O99" s="5">
        <v>2</v>
      </c>
      <c r="P99" s="5">
        <f>ROUND(Source!DH96,O99)</f>
        <v>303181.51</v>
      </c>
      <c r="Q99" s="5"/>
      <c r="R99" s="5"/>
      <c r="S99" s="5"/>
      <c r="T99" s="5"/>
      <c r="U99" s="5"/>
      <c r="V99" s="5"/>
      <c r="W99" s="5"/>
      <c r="IF99">
        <v>-1</v>
      </c>
    </row>
    <row r="100" spans="1:240" x14ac:dyDescent="0.2">
      <c r="A100" s="5">
        <v>50</v>
      </c>
      <c r="B100" s="5">
        <v>0</v>
      </c>
      <c r="C100" s="5">
        <v>0</v>
      </c>
      <c r="D100" s="5">
        <v>1</v>
      </c>
      <c r="E100" s="5">
        <v>222</v>
      </c>
      <c r="F100" s="5">
        <f>ROUND(Source!AO96,O100)</f>
        <v>0</v>
      </c>
      <c r="G100" s="5" t="s">
        <v>114</v>
      </c>
      <c r="H100" s="5" t="s">
        <v>115</v>
      </c>
      <c r="I100" s="5"/>
      <c r="J100" s="5"/>
      <c r="K100" s="5">
        <v>222</v>
      </c>
      <c r="L100" s="5">
        <v>3</v>
      </c>
      <c r="M100" s="5">
        <v>3</v>
      </c>
      <c r="N100" s="5" t="s">
        <v>3</v>
      </c>
      <c r="O100" s="5">
        <v>2</v>
      </c>
      <c r="P100" s="5">
        <f>ROUND(Source!EG96,O100)</f>
        <v>0</v>
      </c>
      <c r="Q100" s="5"/>
      <c r="R100" s="5"/>
      <c r="S100" s="5"/>
      <c r="T100" s="5"/>
      <c r="U100" s="5"/>
      <c r="V100" s="5"/>
      <c r="W100" s="5"/>
      <c r="IF100">
        <v>-1</v>
      </c>
    </row>
    <row r="101" spans="1:240" x14ac:dyDescent="0.2">
      <c r="A101" s="5">
        <v>50</v>
      </c>
      <c r="B101" s="5">
        <v>0</v>
      </c>
      <c r="C101" s="5">
        <v>0</v>
      </c>
      <c r="D101" s="5">
        <v>1</v>
      </c>
      <c r="E101" s="5">
        <v>225</v>
      </c>
      <c r="F101" s="5">
        <f>ROUND(Source!AV96,O101)</f>
        <v>24254.52</v>
      </c>
      <c r="G101" s="5" t="s">
        <v>116</v>
      </c>
      <c r="H101" s="5" t="s">
        <v>117</v>
      </c>
      <c r="I101" s="5"/>
      <c r="J101" s="5"/>
      <c r="K101" s="5">
        <v>225</v>
      </c>
      <c r="L101" s="5">
        <v>4</v>
      </c>
      <c r="M101" s="5">
        <v>3</v>
      </c>
      <c r="N101" s="5" t="s">
        <v>3</v>
      </c>
      <c r="O101" s="5">
        <v>2</v>
      </c>
      <c r="P101" s="5">
        <f>ROUND(Source!EN96,O101)</f>
        <v>303181.51</v>
      </c>
      <c r="Q101" s="5"/>
      <c r="R101" s="5"/>
      <c r="S101" s="5"/>
      <c r="T101" s="5"/>
      <c r="U101" s="5"/>
      <c r="V101" s="5"/>
      <c r="W101" s="5"/>
      <c r="IF101">
        <v>-1</v>
      </c>
    </row>
    <row r="102" spans="1:240" x14ac:dyDescent="0.2">
      <c r="A102" s="5">
        <v>50</v>
      </c>
      <c r="B102" s="5">
        <v>0</v>
      </c>
      <c r="C102" s="5">
        <v>0</v>
      </c>
      <c r="D102" s="5">
        <v>1</v>
      </c>
      <c r="E102" s="5">
        <v>226</v>
      </c>
      <c r="F102" s="5">
        <f>ROUND(Source!AW96,O102)</f>
        <v>24254.52</v>
      </c>
      <c r="G102" s="5" t="s">
        <v>118</v>
      </c>
      <c r="H102" s="5" t="s">
        <v>119</v>
      </c>
      <c r="I102" s="5"/>
      <c r="J102" s="5"/>
      <c r="K102" s="5">
        <v>226</v>
      </c>
      <c r="L102" s="5">
        <v>5</v>
      </c>
      <c r="M102" s="5">
        <v>3</v>
      </c>
      <c r="N102" s="5" t="s">
        <v>3</v>
      </c>
      <c r="O102" s="5">
        <v>2</v>
      </c>
      <c r="P102" s="5">
        <f>ROUND(Source!EO96,O102)</f>
        <v>303181.51</v>
      </c>
      <c r="Q102" s="5"/>
      <c r="R102" s="5"/>
      <c r="S102" s="5"/>
      <c r="T102" s="5"/>
      <c r="U102" s="5"/>
      <c r="V102" s="5"/>
      <c r="W102" s="5"/>
      <c r="IF102">
        <v>-1</v>
      </c>
    </row>
    <row r="103" spans="1:240" x14ac:dyDescent="0.2">
      <c r="A103" s="5">
        <v>50</v>
      </c>
      <c r="B103" s="5">
        <v>0</v>
      </c>
      <c r="C103" s="5">
        <v>0</v>
      </c>
      <c r="D103" s="5">
        <v>1</v>
      </c>
      <c r="E103" s="5">
        <v>227</v>
      </c>
      <c r="F103" s="5">
        <f>ROUND(Source!AX96,O103)</f>
        <v>0</v>
      </c>
      <c r="G103" s="5" t="s">
        <v>120</v>
      </c>
      <c r="H103" s="5" t="s">
        <v>121</v>
      </c>
      <c r="I103" s="5"/>
      <c r="J103" s="5"/>
      <c r="K103" s="5">
        <v>227</v>
      </c>
      <c r="L103" s="5">
        <v>6</v>
      </c>
      <c r="M103" s="5">
        <v>3</v>
      </c>
      <c r="N103" s="5" t="s">
        <v>3</v>
      </c>
      <c r="O103" s="5">
        <v>2</v>
      </c>
      <c r="P103" s="5">
        <f>ROUND(Source!EP96,O103)</f>
        <v>0</v>
      </c>
      <c r="Q103" s="5"/>
      <c r="R103" s="5"/>
      <c r="S103" s="5"/>
      <c r="T103" s="5"/>
      <c r="U103" s="5"/>
      <c r="V103" s="5"/>
      <c r="W103" s="5"/>
      <c r="IF103">
        <v>-1</v>
      </c>
    </row>
    <row r="104" spans="1:240" x14ac:dyDescent="0.2">
      <c r="A104" s="5">
        <v>50</v>
      </c>
      <c r="B104" s="5">
        <v>0</v>
      </c>
      <c r="C104" s="5">
        <v>0</v>
      </c>
      <c r="D104" s="5">
        <v>1</v>
      </c>
      <c r="E104" s="5">
        <v>228</v>
      </c>
      <c r="F104" s="5">
        <f>ROUND(Source!AY96,O104)</f>
        <v>24254.52</v>
      </c>
      <c r="G104" s="5" t="s">
        <v>122</v>
      </c>
      <c r="H104" s="5" t="s">
        <v>123</v>
      </c>
      <c r="I104" s="5"/>
      <c r="J104" s="5"/>
      <c r="K104" s="5">
        <v>228</v>
      </c>
      <c r="L104" s="5">
        <v>7</v>
      </c>
      <c r="M104" s="5">
        <v>3</v>
      </c>
      <c r="N104" s="5" t="s">
        <v>3</v>
      </c>
      <c r="O104" s="5">
        <v>2</v>
      </c>
      <c r="P104" s="5">
        <f>ROUND(Source!EQ96,O104)</f>
        <v>303181.51</v>
      </c>
      <c r="Q104" s="5"/>
      <c r="R104" s="5"/>
      <c r="S104" s="5"/>
      <c r="T104" s="5"/>
      <c r="U104" s="5"/>
      <c r="V104" s="5"/>
      <c r="W104" s="5"/>
      <c r="IF104">
        <v>-1</v>
      </c>
    </row>
    <row r="105" spans="1:240" x14ac:dyDescent="0.2">
      <c r="A105" s="5">
        <v>50</v>
      </c>
      <c r="B105" s="5">
        <v>0</v>
      </c>
      <c r="C105" s="5">
        <v>0</v>
      </c>
      <c r="D105" s="5">
        <v>1</v>
      </c>
      <c r="E105" s="5">
        <v>216</v>
      </c>
      <c r="F105" s="5">
        <f>ROUND(Source!AP96,O105)</f>
        <v>0</v>
      </c>
      <c r="G105" s="5" t="s">
        <v>124</v>
      </c>
      <c r="H105" s="5" t="s">
        <v>125</v>
      </c>
      <c r="I105" s="5"/>
      <c r="J105" s="5"/>
      <c r="K105" s="5">
        <v>216</v>
      </c>
      <c r="L105" s="5">
        <v>8</v>
      </c>
      <c r="M105" s="5">
        <v>3</v>
      </c>
      <c r="N105" s="5" t="s">
        <v>3</v>
      </c>
      <c r="O105" s="5">
        <v>2</v>
      </c>
      <c r="P105" s="5">
        <f>ROUND(Source!EH96,O105)</f>
        <v>0</v>
      </c>
      <c r="Q105" s="5"/>
      <c r="R105" s="5"/>
      <c r="S105" s="5"/>
      <c r="T105" s="5"/>
      <c r="U105" s="5"/>
      <c r="V105" s="5"/>
      <c r="W105" s="5"/>
      <c r="IF105">
        <v>-1</v>
      </c>
    </row>
    <row r="106" spans="1:240" x14ac:dyDescent="0.2">
      <c r="A106" s="5">
        <v>50</v>
      </c>
      <c r="B106" s="5">
        <v>0</v>
      </c>
      <c r="C106" s="5">
        <v>0</v>
      </c>
      <c r="D106" s="5">
        <v>1</v>
      </c>
      <c r="E106" s="5">
        <v>223</v>
      </c>
      <c r="F106" s="5">
        <f>ROUND(Source!AQ96,O106)</f>
        <v>0</v>
      </c>
      <c r="G106" s="5" t="s">
        <v>126</v>
      </c>
      <c r="H106" s="5" t="s">
        <v>127</v>
      </c>
      <c r="I106" s="5"/>
      <c r="J106" s="5"/>
      <c r="K106" s="5">
        <v>223</v>
      </c>
      <c r="L106" s="5">
        <v>9</v>
      </c>
      <c r="M106" s="5">
        <v>3</v>
      </c>
      <c r="N106" s="5" t="s">
        <v>3</v>
      </c>
      <c r="O106" s="5">
        <v>2</v>
      </c>
      <c r="P106" s="5">
        <f>ROUND(Source!EI96,O106)</f>
        <v>0</v>
      </c>
      <c r="Q106" s="5"/>
      <c r="R106" s="5"/>
      <c r="S106" s="5"/>
      <c r="T106" s="5"/>
      <c r="U106" s="5"/>
      <c r="V106" s="5"/>
      <c r="W106" s="5"/>
      <c r="IF106">
        <v>-1</v>
      </c>
    </row>
    <row r="107" spans="1:240" x14ac:dyDescent="0.2">
      <c r="A107" s="5">
        <v>50</v>
      </c>
      <c r="B107" s="5">
        <v>0</v>
      </c>
      <c r="C107" s="5">
        <v>0</v>
      </c>
      <c r="D107" s="5">
        <v>1</v>
      </c>
      <c r="E107" s="5">
        <v>229</v>
      </c>
      <c r="F107" s="5">
        <f>ROUND(Source!AZ96,O107)</f>
        <v>0</v>
      </c>
      <c r="G107" s="5" t="s">
        <v>128</v>
      </c>
      <c r="H107" s="5" t="s">
        <v>129</v>
      </c>
      <c r="I107" s="5"/>
      <c r="J107" s="5"/>
      <c r="K107" s="5">
        <v>229</v>
      </c>
      <c r="L107" s="5">
        <v>10</v>
      </c>
      <c r="M107" s="5">
        <v>3</v>
      </c>
      <c r="N107" s="5" t="s">
        <v>3</v>
      </c>
      <c r="O107" s="5">
        <v>2</v>
      </c>
      <c r="P107" s="5">
        <f>ROUND(Source!ER96,O107)</f>
        <v>0</v>
      </c>
      <c r="Q107" s="5"/>
      <c r="R107" s="5"/>
      <c r="S107" s="5"/>
      <c r="T107" s="5"/>
      <c r="U107" s="5"/>
      <c r="V107" s="5"/>
      <c r="W107" s="5"/>
      <c r="IF107">
        <v>-1</v>
      </c>
    </row>
    <row r="108" spans="1:240" x14ac:dyDescent="0.2">
      <c r="A108" s="5">
        <v>50</v>
      </c>
      <c r="B108" s="5">
        <v>0</v>
      </c>
      <c r="C108" s="5">
        <v>0</v>
      </c>
      <c r="D108" s="5">
        <v>1</v>
      </c>
      <c r="E108" s="5">
        <v>203</v>
      </c>
      <c r="F108" s="5">
        <f>ROUND(Source!Q96,O108)</f>
        <v>2615.02</v>
      </c>
      <c r="G108" s="5" t="s">
        <v>130</v>
      </c>
      <c r="H108" s="5" t="s">
        <v>131</v>
      </c>
      <c r="I108" s="5"/>
      <c r="J108" s="5"/>
      <c r="K108" s="5">
        <v>203</v>
      </c>
      <c r="L108" s="5">
        <v>11</v>
      </c>
      <c r="M108" s="5">
        <v>3</v>
      </c>
      <c r="N108" s="5" t="s">
        <v>3</v>
      </c>
      <c r="O108" s="5">
        <v>2</v>
      </c>
      <c r="P108" s="5">
        <f>ROUND(Source!DI96,O108)</f>
        <v>32687.7</v>
      </c>
      <c r="Q108" s="5"/>
      <c r="R108" s="5"/>
      <c r="S108" s="5"/>
      <c r="T108" s="5"/>
      <c r="U108" s="5"/>
      <c r="V108" s="5"/>
      <c r="W108" s="5"/>
      <c r="IF108">
        <v>-1</v>
      </c>
    </row>
    <row r="109" spans="1:240" x14ac:dyDescent="0.2">
      <c r="A109" s="5">
        <v>50</v>
      </c>
      <c r="B109" s="5">
        <v>0</v>
      </c>
      <c r="C109" s="5">
        <v>0</v>
      </c>
      <c r="D109" s="5">
        <v>1</v>
      </c>
      <c r="E109" s="5">
        <v>231</v>
      </c>
      <c r="F109" s="5">
        <f>ROUND(Source!BB96,O109)</f>
        <v>0</v>
      </c>
      <c r="G109" s="5" t="s">
        <v>132</v>
      </c>
      <c r="H109" s="5" t="s">
        <v>133</v>
      </c>
      <c r="I109" s="5"/>
      <c r="J109" s="5"/>
      <c r="K109" s="5">
        <v>231</v>
      </c>
      <c r="L109" s="5">
        <v>12</v>
      </c>
      <c r="M109" s="5">
        <v>3</v>
      </c>
      <c r="N109" s="5" t="s">
        <v>3</v>
      </c>
      <c r="O109" s="5">
        <v>2</v>
      </c>
      <c r="P109" s="5">
        <f>ROUND(Source!ET96,O109)</f>
        <v>0</v>
      </c>
      <c r="Q109" s="5"/>
      <c r="R109" s="5"/>
      <c r="S109" s="5"/>
      <c r="T109" s="5"/>
      <c r="U109" s="5"/>
      <c r="V109" s="5"/>
      <c r="W109" s="5"/>
      <c r="IF109">
        <v>-1</v>
      </c>
    </row>
    <row r="110" spans="1:240" x14ac:dyDescent="0.2">
      <c r="A110" s="5">
        <v>50</v>
      </c>
      <c r="B110" s="5">
        <v>0</v>
      </c>
      <c r="C110" s="5">
        <v>0</v>
      </c>
      <c r="D110" s="5">
        <v>1</v>
      </c>
      <c r="E110" s="5">
        <v>204</v>
      </c>
      <c r="F110" s="5">
        <f>ROUND(Source!R96,O110)</f>
        <v>198.01</v>
      </c>
      <c r="G110" s="5" t="s">
        <v>134</v>
      </c>
      <c r="H110" s="5" t="s">
        <v>135</v>
      </c>
      <c r="I110" s="5"/>
      <c r="J110" s="5"/>
      <c r="K110" s="5">
        <v>204</v>
      </c>
      <c r="L110" s="5">
        <v>13</v>
      </c>
      <c r="M110" s="5">
        <v>3</v>
      </c>
      <c r="N110" s="5" t="s">
        <v>3</v>
      </c>
      <c r="O110" s="5">
        <v>2</v>
      </c>
      <c r="P110" s="5">
        <f>ROUND(Source!DJ96,O110)</f>
        <v>2475.09</v>
      </c>
      <c r="Q110" s="5"/>
      <c r="R110" s="5"/>
      <c r="S110" s="5"/>
      <c r="T110" s="5"/>
      <c r="U110" s="5"/>
      <c r="V110" s="5"/>
      <c r="W110" s="5"/>
      <c r="IF110">
        <v>-1</v>
      </c>
    </row>
    <row r="111" spans="1:240" x14ac:dyDescent="0.2">
      <c r="A111" s="5">
        <v>50</v>
      </c>
      <c r="B111" s="5">
        <v>0</v>
      </c>
      <c r="C111" s="5">
        <v>0</v>
      </c>
      <c r="D111" s="5">
        <v>1</v>
      </c>
      <c r="E111" s="5">
        <v>205</v>
      </c>
      <c r="F111" s="5">
        <f>ROUND(Source!S96,O111)</f>
        <v>523.89</v>
      </c>
      <c r="G111" s="5" t="s">
        <v>136</v>
      </c>
      <c r="H111" s="5" t="s">
        <v>137</v>
      </c>
      <c r="I111" s="5"/>
      <c r="J111" s="5"/>
      <c r="K111" s="5">
        <v>205</v>
      </c>
      <c r="L111" s="5">
        <v>14</v>
      </c>
      <c r="M111" s="5">
        <v>3</v>
      </c>
      <c r="N111" s="5" t="s">
        <v>3</v>
      </c>
      <c r="O111" s="5">
        <v>2</v>
      </c>
      <c r="P111" s="5">
        <f>ROUND(Source!DK96,O111)</f>
        <v>6668.9</v>
      </c>
      <c r="Q111" s="5"/>
      <c r="R111" s="5"/>
      <c r="S111" s="5"/>
      <c r="T111" s="5"/>
      <c r="U111" s="5"/>
      <c r="V111" s="5"/>
      <c r="W111" s="5"/>
      <c r="IF111">
        <v>-1</v>
      </c>
    </row>
    <row r="112" spans="1:240" x14ac:dyDescent="0.2">
      <c r="A112" s="5">
        <v>50</v>
      </c>
      <c r="B112" s="5">
        <v>0</v>
      </c>
      <c r="C112" s="5">
        <v>0</v>
      </c>
      <c r="D112" s="5">
        <v>1</v>
      </c>
      <c r="E112" s="5">
        <v>232</v>
      </c>
      <c r="F112" s="5">
        <f>ROUND(Source!BC96,O112)</f>
        <v>0</v>
      </c>
      <c r="G112" s="5" t="s">
        <v>138</v>
      </c>
      <c r="H112" s="5" t="s">
        <v>139</v>
      </c>
      <c r="I112" s="5"/>
      <c r="J112" s="5"/>
      <c r="K112" s="5">
        <v>232</v>
      </c>
      <c r="L112" s="5">
        <v>15</v>
      </c>
      <c r="M112" s="5">
        <v>3</v>
      </c>
      <c r="N112" s="5" t="s">
        <v>3</v>
      </c>
      <c r="O112" s="5">
        <v>2</v>
      </c>
      <c r="P112" s="5">
        <f>ROUND(Source!EU96,O112)</f>
        <v>0</v>
      </c>
      <c r="Q112" s="5"/>
      <c r="R112" s="5"/>
      <c r="S112" s="5"/>
      <c r="T112" s="5"/>
      <c r="U112" s="5"/>
      <c r="V112" s="5"/>
      <c r="W112" s="5"/>
      <c r="IF112">
        <v>-1</v>
      </c>
    </row>
    <row r="113" spans="1:240" x14ac:dyDescent="0.2">
      <c r="A113" s="5">
        <v>50</v>
      </c>
      <c r="B113" s="5">
        <v>0</v>
      </c>
      <c r="C113" s="5">
        <v>0</v>
      </c>
      <c r="D113" s="5">
        <v>1</v>
      </c>
      <c r="E113" s="5">
        <v>214</v>
      </c>
      <c r="F113" s="5">
        <f>ROUND(Source!AS96,O113)</f>
        <v>28173.4</v>
      </c>
      <c r="G113" s="5" t="s">
        <v>140</v>
      </c>
      <c r="H113" s="5" t="s">
        <v>141</v>
      </c>
      <c r="I113" s="5"/>
      <c r="J113" s="5"/>
      <c r="K113" s="5">
        <v>214</v>
      </c>
      <c r="L113" s="5">
        <v>16</v>
      </c>
      <c r="M113" s="5">
        <v>3</v>
      </c>
      <c r="N113" s="5" t="s">
        <v>3</v>
      </c>
      <c r="O113" s="5">
        <v>2</v>
      </c>
      <c r="P113" s="5">
        <f>ROUND(Source!EK96,O113)</f>
        <v>352167.29</v>
      </c>
      <c r="Q113" s="5"/>
      <c r="R113" s="5"/>
      <c r="S113" s="5"/>
      <c r="T113" s="5"/>
      <c r="U113" s="5"/>
      <c r="V113" s="5"/>
      <c r="W113" s="5"/>
      <c r="IF113">
        <v>-1</v>
      </c>
    </row>
    <row r="114" spans="1:240" x14ac:dyDescent="0.2">
      <c r="A114" s="5">
        <v>50</v>
      </c>
      <c r="B114" s="5">
        <v>0</v>
      </c>
      <c r="C114" s="5">
        <v>0</v>
      </c>
      <c r="D114" s="5">
        <v>1</v>
      </c>
      <c r="E114" s="5">
        <v>215</v>
      </c>
      <c r="F114" s="5">
        <f>ROUND(Source!AT96,O114)</f>
        <v>340.11</v>
      </c>
      <c r="G114" s="5" t="s">
        <v>142</v>
      </c>
      <c r="H114" s="5" t="s">
        <v>143</v>
      </c>
      <c r="I114" s="5"/>
      <c r="J114" s="5"/>
      <c r="K114" s="5">
        <v>215</v>
      </c>
      <c r="L114" s="5">
        <v>17</v>
      </c>
      <c r="M114" s="5">
        <v>3</v>
      </c>
      <c r="N114" s="5" t="s">
        <v>3</v>
      </c>
      <c r="O114" s="5">
        <v>2</v>
      </c>
      <c r="P114" s="5">
        <f>ROUND(Source!EL96,O114)</f>
        <v>4250.97</v>
      </c>
      <c r="Q114" s="5"/>
      <c r="R114" s="5"/>
      <c r="S114" s="5"/>
      <c r="T114" s="5"/>
      <c r="U114" s="5"/>
      <c r="V114" s="5"/>
      <c r="W114" s="5"/>
      <c r="IF114">
        <v>-1</v>
      </c>
    </row>
    <row r="115" spans="1:240" x14ac:dyDescent="0.2">
      <c r="A115" s="5">
        <v>50</v>
      </c>
      <c r="B115" s="5">
        <v>0</v>
      </c>
      <c r="C115" s="5">
        <v>0</v>
      </c>
      <c r="D115" s="5">
        <v>1</v>
      </c>
      <c r="E115" s="5">
        <v>217</v>
      </c>
      <c r="F115" s="5">
        <f>ROUND(Source!AU96,O115)</f>
        <v>42.54</v>
      </c>
      <c r="G115" s="5" t="s">
        <v>144</v>
      </c>
      <c r="H115" s="5" t="s">
        <v>145</v>
      </c>
      <c r="I115" s="5"/>
      <c r="J115" s="5"/>
      <c r="K115" s="5">
        <v>217</v>
      </c>
      <c r="L115" s="5">
        <v>18</v>
      </c>
      <c r="M115" s="5">
        <v>3</v>
      </c>
      <c r="N115" s="5" t="s">
        <v>3</v>
      </c>
      <c r="O115" s="5">
        <v>2</v>
      </c>
      <c r="P115" s="5">
        <f>ROUND(Source!EM96,O115)</f>
        <v>778.44</v>
      </c>
      <c r="Q115" s="5"/>
      <c r="R115" s="5"/>
      <c r="S115" s="5"/>
      <c r="T115" s="5"/>
      <c r="U115" s="5"/>
      <c r="V115" s="5"/>
      <c r="W115" s="5"/>
      <c r="IF115">
        <v>-1</v>
      </c>
    </row>
    <row r="116" spans="1:240" x14ac:dyDescent="0.2">
      <c r="A116" s="5">
        <v>50</v>
      </c>
      <c r="B116" s="5">
        <v>0</v>
      </c>
      <c r="C116" s="5">
        <v>0</v>
      </c>
      <c r="D116" s="5">
        <v>1</v>
      </c>
      <c r="E116" s="5">
        <v>230</v>
      </c>
      <c r="F116" s="5">
        <f>ROUND(Source!BA96,O116)</f>
        <v>0</v>
      </c>
      <c r="G116" s="5" t="s">
        <v>146</v>
      </c>
      <c r="H116" s="5" t="s">
        <v>147</v>
      </c>
      <c r="I116" s="5"/>
      <c r="J116" s="5"/>
      <c r="K116" s="5">
        <v>230</v>
      </c>
      <c r="L116" s="5">
        <v>19</v>
      </c>
      <c r="M116" s="5">
        <v>3</v>
      </c>
      <c r="N116" s="5" t="s">
        <v>3</v>
      </c>
      <c r="O116" s="5">
        <v>2</v>
      </c>
      <c r="P116" s="5">
        <f>ROUND(Source!ES96,O116)</f>
        <v>0</v>
      </c>
      <c r="Q116" s="5"/>
      <c r="R116" s="5"/>
      <c r="S116" s="5"/>
      <c r="T116" s="5"/>
      <c r="U116" s="5"/>
      <c r="V116" s="5"/>
      <c r="W116" s="5"/>
      <c r="IF116">
        <v>-1</v>
      </c>
    </row>
    <row r="117" spans="1:240" x14ac:dyDescent="0.2">
      <c r="A117" s="5">
        <v>50</v>
      </c>
      <c r="B117" s="5">
        <v>0</v>
      </c>
      <c r="C117" s="5">
        <v>0</v>
      </c>
      <c r="D117" s="5">
        <v>1</v>
      </c>
      <c r="E117" s="5">
        <v>206</v>
      </c>
      <c r="F117" s="5">
        <f>ROUND(Source!T96,O117)</f>
        <v>0</v>
      </c>
      <c r="G117" s="5" t="s">
        <v>148</v>
      </c>
      <c r="H117" s="5" t="s">
        <v>149</v>
      </c>
      <c r="I117" s="5"/>
      <c r="J117" s="5"/>
      <c r="K117" s="5">
        <v>206</v>
      </c>
      <c r="L117" s="5">
        <v>20</v>
      </c>
      <c r="M117" s="5">
        <v>3</v>
      </c>
      <c r="N117" s="5" t="s">
        <v>3</v>
      </c>
      <c r="O117" s="5">
        <v>2</v>
      </c>
      <c r="P117" s="5">
        <f>ROUND(Source!DL96,O117)</f>
        <v>0</v>
      </c>
      <c r="Q117" s="5"/>
      <c r="R117" s="5"/>
      <c r="S117" s="5"/>
      <c r="T117" s="5"/>
      <c r="U117" s="5"/>
      <c r="V117" s="5"/>
      <c r="W117" s="5"/>
      <c r="IF117">
        <v>-1</v>
      </c>
    </row>
    <row r="118" spans="1:240" x14ac:dyDescent="0.2">
      <c r="A118" s="5">
        <v>50</v>
      </c>
      <c r="B118" s="5">
        <v>0</v>
      </c>
      <c r="C118" s="5">
        <v>0</v>
      </c>
      <c r="D118" s="5">
        <v>1</v>
      </c>
      <c r="E118" s="5">
        <v>207</v>
      </c>
      <c r="F118" s="5">
        <f>Source!U96</f>
        <v>53.182400000000001</v>
      </c>
      <c r="G118" s="5" t="s">
        <v>150</v>
      </c>
      <c r="H118" s="5" t="s">
        <v>151</v>
      </c>
      <c r="I118" s="5"/>
      <c r="J118" s="5"/>
      <c r="K118" s="5">
        <v>207</v>
      </c>
      <c r="L118" s="5">
        <v>21</v>
      </c>
      <c r="M118" s="5">
        <v>3</v>
      </c>
      <c r="N118" s="5" t="s">
        <v>3</v>
      </c>
      <c r="O118" s="5">
        <v>-1</v>
      </c>
      <c r="P118" s="5">
        <f>Source!DM96</f>
        <v>53.182400000000001</v>
      </c>
      <c r="Q118" s="5"/>
      <c r="R118" s="5"/>
      <c r="S118" s="5"/>
      <c r="T118" s="5"/>
      <c r="U118" s="5"/>
      <c r="V118" s="5"/>
      <c r="W118" s="5"/>
      <c r="IF118">
        <v>-1</v>
      </c>
    </row>
    <row r="119" spans="1:240" x14ac:dyDescent="0.2">
      <c r="A119" s="5">
        <v>50</v>
      </c>
      <c r="B119" s="5">
        <v>0</v>
      </c>
      <c r="C119" s="5">
        <v>0</v>
      </c>
      <c r="D119" s="5">
        <v>1</v>
      </c>
      <c r="E119" s="5">
        <v>208</v>
      </c>
      <c r="F119" s="5">
        <f>Source!V96</f>
        <v>16.384500000000003</v>
      </c>
      <c r="G119" s="5" t="s">
        <v>152</v>
      </c>
      <c r="H119" s="5" t="s">
        <v>153</v>
      </c>
      <c r="I119" s="5"/>
      <c r="J119" s="5"/>
      <c r="K119" s="5">
        <v>208</v>
      </c>
      <c r="L119" s="5">
        <v>22</v>
      </c>
      <c r="M119" s="5">
        <v>3</v>
      </c>
      <c r="N119" s="5" t="s">
        <v>3</v>
      </c>
      <c r="O119" s="5">
        <v>-1</v>
      </c>
      <c r="P119" s="5">
        <f>Source!DN96</f>
        <v>16.384500000000003</v>
      </c>
      <c r="Q119" s="5"/>
      <c r="R119" s="5"/>
      <c r="S119" s="5"/>
      <c r="T119" s="5"/>
      <c r="U119" s="5"/>
      <c r="V119" s="5"/>
      <c r="W119" s="5"/>
      <c r="IF119">
        <v>-1</v>
      </c>
    </row>
    <row r="120" spans="1:240" x14ac:dyDescent="0.2">
      <c r="A120" s="5">
        <v>50</v>
      </c>
      <c r="B120" s="5">
        <v>0</v>
      </c>
      <c r="C120" s="5">
        <v>0</v>
      </c>
      <c r="D120" s="5">
        <v>1</v>
      </c>
      <c r="E120" s="5">
        <v>209</v>
      </c>
      <c r="F120" s="5">
        <f>ROUND(Source!W96,O120)</f>
        <v>0</v>
      </c>
      <c r="G120" s="5" t="s">
        <v>154</v>
      </c>
      <c r="H120" s="5" t="s">
        <v>155</v>
      </c>
      <c r="I120" s="5"/>
      <c r="J120" s="5"/>
      <c r="K120" s="5">
        <v>209</v>
      </c>
      <c r="L120" s="5">
        <v>23</v>
      </c>
      <c r="M120" s="5">
        <v>3</v>
      </c>
      <c r="N120" s="5" t="s">
        <v>3</v>
      </c>
      <c r="O120" s="5">
        <v>2</v>
      </c>
      <c r="P120" s="5">
        <f>ROUND(Source!DO96,O120)</f>
        <v>0</v>
      </c>
      <c r="Q120" s="5"/>
      <c r="R120" s="5"/>
      <c r="S120" s="5"/>
      <c r="T120" s="5"/>
      <c r="U120" s="5"/>
      <c r="V120" s="5"/>
      <c r="W120" s="5"/>
      <c r="IF120">
        <v>-1</v>
      </c>
    </row>
    <row r="121" spans="1:240" x14ac:dyDescent="0.2">
      <c r="A121" s="5">
        <v>50</v>
      </c>
      <c r="B121" s="5">
        <v>0</v>
      </c>
      <c r="C121" s="5">
        <v>0</v>
      </c>
      <c r="D121" s="5">
        <v>1</v>
      </c>
      <c r="E121" s="5">
        <v>210</v>
      </c>
      <c r="F121" s="5">
        <f>ROUND(Source!X96,O121)</f>
        <v>720.84</v>
      </c>
      <c r="G121" s="5" t="s">
        <v>156</v>
      </c>
      <c r="H121" s="5" t="s">
        <v>157</v>
      </c>
      <c r="I121" s="5"/>
      <c r="J121" s="5"/>
      <c r="K121" s="5">
        <v>210</v>
      </c>
      <c r="L121" s="5">
        <v>24</v>
      </c>
      <c r="M121" s="5">
        <v>3</v>
      </c>
      <c r="N121" s="5" t="s">
        <v>3</v>
      </c>
      <c r="O121" s="5">
        <v>2</v>
      </c>
      <c r="P121" s="5">
        <f>ROUND(Source!DP96,O121)</f>
        <v>9088.41</v>
      </c>
      <c r="Q121" s="5"/>
      <c r="R121" s="5"/>
      <c r="S121" s="5"/>
      <c r="T121" s="5"/>
      <c r="U121" s="5"/>
      <c r="V121" s="5"/>
      <c r="W121" s="5"/>
      <c r="IF121">
        <v>-1</v>
      </c>
    </row>
    <row r="122" spans="1:240" x14ac:dyDescent="0.2">
      <c r="A122" s="5">
        <v>50</v>
      </c>
      <c r="B122" s="5">
        <v>0</v>
      </c>
      <c r="C122" s="5">
        <v>0</v>
      </c>
      <c r="D122" s="5">
        <v>1</v>
      </c>
      <c r="E122" s="5">
        <v>211</v>
      </c>
      <c r="F122" s="5">
        <f>ROUND(Source!Y96,O122)</f>
        <v>441.78</v>
      </c>
      <c r="G122" s="5" t="s">
        <v>158</v>
      </c>
      <c r="H122" s="5" t="s">
        <v>159</v>
      </c>
      <c r="I122" s="5"/>
      <c r="J122" s="5"/>
      <c r="K122" s="5">
        <v>211</v>
      </c>
      <c r="L122" s="5">
        <v>25</v>
      </c>
      <c r="M122" s="5">
        <v>3</v>
      </c>
      <c r="N122" s="5" t="s">
        <v>3</v>
      </c>
      <c r="O122" s="5">
        <v>2</v>
      </c>
      <c r="P122" s="5">
        <f>ROUND(Source!DQ96,O122)</f>
        <v>5570.18</v>
      </c>
      <c r="Q122" s="5"/>
      <c r="R122" s="5"/>
      <c r="S122" s="5"/>
      <c r="T122" s="5"/>
      <c r="U122" s="5"/>
      <c r="V122" s="5"/>
      <c r="W122" s="5"/>
      <c r="IF122">
        <v>-1</v>
      </c>
    </row>
    <row r="123" spans="1:240" x14ac:dyDescent="0.2">
      <c r="A123" s="5">
        <v>50</v>
      </c>
      <c r="B123" s="5">
        <v>0</v>
      </c>
      <c r="C123" s="5">
        <v>0</v>
      </c>
      <c r="D123" s="5">
        <v>1</v>
      </c>
      <c r="E123" s="5">
        <v>224</v>
      </c>
      <c r="F123" s="5">
        <f>ROUND(Source!AR96,O123)</f>
        <v>28556.05</v>
      </c>
      <c r="G123" s="5" t="s">
        <v>160</v>
      </c>
      <c r="H123" s="5" t="s">
        <v>161</v>
      </c>
      <c r="I123" s="5"/>
      <c r="J123" s="5"/>
      <c r="K123" s="5">
        <v>224</v>
      </c>
      <c r="L123" s="5">
        <v>26</v>
      </c>
      <c r="M123" s="5">
        <v>3</v>
      </c>
      <c r="N123" s="5" t="s">
        <v>3</v>
      </c>
      <c r="O123" s="5">
        <v>2</v>
      </c>
      <c r="P123" s="5">
        <f>ROUND(Source!EJ96,O123)</f>
        <v>357196.7</v>
      </c>
      <c r="Q123" s="5"/>
      <c r="R123" s="5"/>
      <c r="S123" s="5"/>
      <c r="T123" s="5"/>
      <c r="U123" s="5"/>
      <c r="V123" s="5"/>
      <c r="W123" s="5"/>
      <c r="IF123">
        <v>-1</v>
      </c>
    </row>
    <row r="124" spans="1:240" x14ac:dyDescent="0.2">
      <c r="IF124">
        <v>-1</v>
      </c>
    </row>
    <row r="125" spans="1:240" x14ac:dyDescent="0.2">
      <c r="IF125">
        <v>-1</v>
      </c>
    </row>
    <row r="126" spans="1:240" x14ac:dyDescent="0.2">
      <c r="A126">
        <v>70</v>
      </c>
      <c r="B126">
        <v>1</v>
      </c>
      <c r="D126">
        <v>1</v>
      </c>
      <c r="E126" t="s">
        <v>162</v>
      </c>
      <c r="F126" t="s">
        <v>163</v>
      </c>
      <c r="G126">
        <v>1</v>
      </c>
      <c r="H126">
        <v>0</v>
      </c>
      <c r="I126" t="s">
        <v>164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  <c r="IF126">
        <v>-1</v>
      </c>
    </row>
    <row r="127" spans="1:240" x14ac:dyDescent="0.2">
      <c r="A127">
        <v>70</v>
      </c>
      <c r="B127">
        <v>1</v>
      </c>
      <c r="D127">
        <v>2</v>
      </c>
      <c r="E127" t="s">
        <v>165</v>
      </c>
      <c r="F127" t="s">
        <v>166</v>
      </c>
      <c r="G127">
        <v>0</v>
      </c>
      <c r="H127">
        <v>0</v>
      </c>
      <c r="I127" t="s">
        <v>164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0</v>
      </c>
      <c r="IF127">
        <v>-1</v>
      </c>
    </row>
    <row r="128" spans="1:240" x14ac:dyDescent="0.2">
      <c r="A128">
        <v>70</v>
      </c>
      <c r="B128">
        <v>1</v>
      </c>
      <c r="D128">
        <v>3</v>
      </c>
      <c r="E128" t="s">
        <v>167</v>
      </c>
      <c r="F128" t="s">
        <v>168</v>
      </c>
      <c r="G128">
        <v>0</v>
      </c>
      <c r="H128">
        <v>0</v>
      </c>
      <c r="I128" t="s">
        <v>164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0</v>
      </c>
      <c r="IF128">
        <v>-1</v>
      </c>
    </row>
    <row r="129" spans="1:240" x14ac:dyDescent="0.2">
      <c r="A129">
        <v>70</v>
      </c>
      <c r="B129">
        <v>1</v>
      </c>
      <c r="D129">
        <v>4</v>
      </c>
      <c r="E129" t="s">
        <v>169</v>
      </c>
      <c r="F129" t="s">
        <v>170</v>
      </c>
      <c r="G129">
        <v>0</v>
      </c>
      <c r="H129">
        <v>0</v>
      </c>
      <c r="I129" t="s">
        <v>164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</v>
      </c>
      <c r="IF129">
        <v>-1</v>
      </c>
    </row>
    <row r="130" spans="1:240" x14ac:dyDescent="0.2">
      <c r="A130">
        <v>70</v>
      </c>
      <c r="B130">
        <v>1</v>
      </c>
      <c r="D130">
        <v>5</v>
      </c>
      <c r="E130" t="s">
        <v>171</v>
      </c>
      <c r="F130" t="s">
        <v>172</v>
      </c>
      <c r="G130">
        <v>0</v>
      </c>
      <c r="H130">
        <v>0</v>
      </c>
      <c r="I130" t="s">
        <v>164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</v>
      </c>
      <c r="IF130">
        <v>-1</v>
      </c>
    </row>
    <row r="131" spans="1:240" x14ac:dyDescent="0.2">
      <c r="A131">
        <v>70</v>
      </c>
      <c r="B131">
        <v>1</v>
      </c>
      <c r="D131">
        <v>6</v>
      </c>
      <c r="E131" t="s">
        <v>173</v>
      </c>
      <c r="F131" t="s">
        <v>174</v>
      </c>
      <c r="G131">
        <v>0</v>
      </c>
      <c r="H131">
        <v>0</v>
      </c>
      <c r="I131" t="s">
        <v>164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</v>
      </c>
      <c r="IF131">
        <v>-1</v>
      </c>
    </row>
    <row r="132" spans="1:240" x14ac:dyDescent="0.2">
      <c r="A132">
        <v>70</v>
      </c>
      <c r="B132">
        <v>1</v>
      </c>
      <c r="D132">
        <v>7</v>
      </c>
      <c r="E132" t="s">
        <v>175</v>
      </c>
      <c r="F132" t="s">
        <v>176</v>
      </c>
      <c r="G132">
        <v>0</v>
      </c>
      <c r="H132">
        <v>0</v>
      </c>
      <c r="I132" t="s">
        <v>164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</v>
      </c>
      <c r="IF132">
        <v>-1</v>
      </c>
    </row>
    <row r="133" spans="1:240" x14ac:dyDescent="0.2">
      <c r="A133">
        <v>70</v>
      </c>
      <c r="B133">
        <v>1</v>
      </c>
      <c r="D133">
        <v>8</v>
      </c>
      <c r="E133" t="s">
        <v>177</v>
      </c>
      <c r="F133" t="s">
        <v>178</v>
      </c>
      <c r="G133">
        <v>0</v>
      </c>
      <c r="H133">
        <v>0</v>
      </c>
      <c r="I133" t="s">
        <v>164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</v>
      </c>
      <c r="IF133">
        <v>-1</v>
      </c>
    </row>
    <row r="134" spans="1:240" x14ac:dyDescent="0.2">
      <c r="A134">
        <v>70</v>
      </c>
      <c r="B134">
        <v>1</v>
      </c>
      <c r="D134">
        <v>9</v>
      </c>
      <c r="E134" t="s">
        <v>179</v>
      </c>
      <c r="F134" t="s">
        <v>180</v>
      </c>
      <c r="G134">
        <v>0</v>
      </c>
      <c r="H134">
        <v>0</v>
      </c>
      <c r="I134" t="s">
        <v>164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0</v>
      </c>
      <c r="IF134">
        <v>-1</v>
      </c>
    </row>
    <row r="135" spans="1:240" x14ac:dyDescent="0.2">
      <c r="A135">
        <v>70</v>
      </c>
      <c r="B135">
        <v>1</v>
      </c>
      <c r="D135">
        <v>1</v>
      </c>
      <c r="E135" t="s">
        <v>181</v>
      </c>
      <c r="F135" t="s">
        <v>182</v>
      </c>
      <c r="G135">
        <v>1</v>
      </c>
      <c r="H135">
        <v>1</v>
      </c>
      <c r="I135" t="s">
        <v>164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</v>
      </c>
      <c r="IF135">
        <v>-1</v>
      </c>
    </row>
    <row r="136" spans="1:240" x14ac:dyDescent="0.2">
      <c r="A136">
        <v>70</v>
      </c>
      <c r="B136">
        <v>1</v>
      </c>
      <c r="D136">
        <v>2</v>
      </c>
      <c r="E136" t="s">
        <v>183</v>
      </c>
      <c r="F136" t="s">
        <v>184</v>
      </c>
      <c r="G136">
        <v>1</v>
      </c>
      <c r="H136">
        <v>1</v>
      </c>
      <c r="I136" t="s">
        <v>164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  <c r="IF136">
        <v>-1</v>
      </c>
    </row>
    <row r="137" spans="1:240" x14ac:dyDescent="0.2">
      <c r="A137">
        <v>70</v>
      </c>
      <c r="B137">
        <v>1</v>
      </c>
      <c r="D137">
        <v>3</v>
      </c>
      <c r="E137" t="s">
        <v>185</v>
      </c>
      <c r="F137" t="s">
        <v>186</v>
      </c>
      <c r="G137">
        <v>1</v>
      </c>
      <c r="H137">
        <v>0</v>
      </c>
      <c r="I137" t="s">
        <v>164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  <c r="IF137">
        <v>-1</v>
      </c>
    </row>
    <row r="138" spans="1:240" x14ac:dyDescent="0.2">
      <c r="A138">
        <v>70</v>
      </c>
      <c r="B138">
        <v>1</v>
      </c>
      <c r="D138">
        <v>4</v>
      </c>
      <c r="E138" t="s">
        <v>187</v>
      </c>
      <c r="F138" t="s">
        <v>188</v>
      </c>
      <c r="G138">
        <v>1</v>
      </c>
      <c r="H138">
        <v>0</v>
      </c>
      <c r="I138" t="s">
        <v>164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  <c r="IF138">
        <v>-1</v>
      </c>
    </row>
    <row r="139" spans="1:240" x14ac:dyDescent="0.2">
      <c r="A139">
        <v>70</v>
      </c>
      <c r="B139">
        <v>1</v>
      </c>
      <c r="D139">
        <v>5</v>
      </c>
      <c r="E139" t="s">
        <v>189</v>
      </c>
      <c r="F139" t="s">
        <v>190</v>
      </c>
      <c r="G139">
        <v>1</v>
      </c>
      <c r="H139">
        <v>0</v>
      </c>
      <c r="I139" t="s">
        <v>164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0.85</v>
      </c>
      <c r="IF139">
        <v>-1</v>
      </c>
    </row>
    <row r="140" spans="1:240" x14ac:dyDescent="0.2">
      <c r="A140">
        <v>70</v>
      </c>
      <c r="B140">
        <v>1</v>
      </c>
      <c r="D140">
        <v>6</v>
      </c>
      <c r="E140" t="s">
        <v>191</v>
      </c>
      <c r="F140" t="s">
        <v>192</v>
      </c>
      <c r="G140">
        <v>1</v>
      </c>
      <c r="H140">
        <v>0</v>
      </c>
      <c r="I140" t="s">
        <v>164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0.8</v>
      </c>
      <c r="IF140">
        <v>-1</v>
      </c>
    </row>
    <row r="141" spans="1:240" x14ac:dyDescent="0.2">
      <c r="A141">
        <v>70</v>
      </c>
      <c r="B141">
        <v>1</v>
      </c>
      <c r="D141">
        <v>7</v>
      </c>
      <c r="E141" t="s">
        <v>193</v>
      </c>
      <c r="F141" t="s">
        <v>194</v>
      </c>
      <c r="G141">
        <v>1</v>
      </c>
      <c r="H141">
        <v>0</v>
      </c>
      <c r="I141" t="s">
        <v>164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1</v>
      </c>
      <c r="IF141">
        <v>-1</v>
      </c>
    </row>
    <row r="142" spans="1:240" x14ac:dyDescent="0.2">
      <c r="A142">
        <v>70</v>
      </c>
      <c r="B142">
        <v>1</v>
      </c>
      <c r="D142">
        <v>8</v>
      </c>
      <c r="E142" t="s">
        <v>195</v>
      </c>
      <c r="F142" t="s">
        <v>196</v>
      </c>
      <c r="G142">
        <v>1</v>
      </c>
      <c r="H142">
        <v>0.8</v>
      </c>
      <c r="I142" t="s">
        <v>164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  <c r="IF142">
        <v>-1</v>
      </c>
    </row>
    <row r="143" spans="1:240" x14ac:dyDescent="0.2">
      <c r="A143">
        <v>70</v>
      </c>
      <c r="B143">
        <v>1</v>
      </c>
      <c r="D143">
        <v>9</v>
      </c>
      <c r="E143" t="s">
        <v>197</v>
      </c>
      <c r="F143" t="s">
        <v>198</v>
      </c>
      <c r="G143">
        <v>1</v>
      </c>
      <c r="H143">
        <v>0.85</v>
      </c>
      <c r="I143" t="s">
        <v>164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  <c r="IF143">
        <v>-1</v>
      </c>
    </row>
    <row r="144" spans="1:240" x14ac:dyDescent="0.2">
      <c r="A144">
        <v>70</v>
      </c>
      <c r="B144">
        <v>1</v>
      </c>
      <c r="D144">
        <v>10</v>
      </c>
      <c r="E144" t="s">
        <v>199</v>
      </c>
      <c r="F144" t="s">
        <v>200</v>
      </c>
      <c r="G144">
        <v>1</v>
      </c>
      <c r="H144">
        <v>0</v>
      </c>
      <c r="I144" t="s">
        <v>164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  <c r="IF144">
        <v>-1</v>
      </c>
    </row>
    <row r="145" spans="1:240" x14ac:dyDescent="0.2">
      <c r="A145">
        <v>70</v>
      </c>
      <c r="B145">
        <v>1</v>
      </c>
      <c r="D145">
        <v>11</v>
      </c>
      <c r="E145" t="s">
        <v>201</v>
      </c>
      <c r="F145" t="s">
        <v>202</v>
      </c>
      <c r="G145">
        <v>1</v>
      </c>
      <c r="H145">
        <v>0</v>
      </c>
      <c r="I145" t="s">
        <v>164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0.94</v>
      </c>
      <c r="IF145">
        <v>-1</v>
      </c>
    </row>
    <row r="146" spans="1:240" x14ac:dyDescent="0.2">
      <c r="A146">
        <v>70</v>
      </c>
      <c r="B146">
        <v>1</v>
      </c>
      <c r="D146">
        <v>12</v>
      </c>
      <c r="E146" t="s">
        <v>203</v>
      </c>
      <c r="F146" t="s">
        <v>204</v>
      </c>
      <c r="G146">
        <v>1</v>
      </c>
      <c r="H146">
        <v>0</v>
      </c>
      <c r="I146" t="s">
        <v>164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0.9</v>
      </c>
      <c r="IF146">
        <v>-1</v>
      </c>
    </row>
    <row r="147" spans="1:240" x14ac:dyDescent="0.2">
      <c r="A147">
        <v>70</v>
      </c>
      <c r="B147">
        <v>1</v>
      </c>
      <c r="D147">
        <v>13</v>
      </c>
      <c r="E147" t="s">
        <v>205</v>
      </c>
      <c r="F147" t="s">
        <v>206</v>
      </c>
      <c r="G147">
        <v>0.6</v>
      </c>
      <c r="H147">
        <v>0</v>
      </c>
      <c r="I147" t="s">
        <v>164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0.6</v>
      </c>
      <c r="IF147">
        <v>-1</v>
      </c>
    </row>
    <row r="148" spans="1:240" x14ac:dyDescent="0.2">
      <c r="A148">
        <v>70</v>
      </c>
      <c r="B148">
        <v>1</v>
      </c>
      <c r="D148">
        <v>14</v>
      </c>
      <c r="E148" t="s">
        <v>207</v>
      </c>
      <c r="F148" t="s">
        <v>208</v>
      </c>
      <c r="G148">
        <v>1</v>
      </c>
      <c r="H148">
        <v>0</v>
      </c>
      <c r="I148" t="s">
        <v>164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  <c r="IF148">
        <v>-1</v>
      </c>
    </row>
    <row r="149" spans="1:240" x14ac:dyDescent="0.2">
      <c r="A149">
        <v>70</v>
      </c>
      <c r="B149">
        <v>1</v>
      </c>
      <c r="D149">
        <v>15</v>
      </c>
      <c r="E149" t="s">
        <v>209</v>
      </c>
      <c r="F149" t="s">
        <v>210</v>
      </c>
      <c r="G149">
        <v>1.2</v>
      </c>
      <c r="H149">
        <v>0</v>
      </c>
      <c r="I149" t="s">
        <v>164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1.2</v>
      </c>
      <c r="IF149">
        <v>-1</v>
      </c>
    </row>
    <row r="150" spans="1:240" x14ac:dyDescent="0.2">
      <c r="A150">
        <v>70</v>
      </c>
      <c r="B150">
        <v>1</v>
      </c>
      <c r="D150">
        <v>16</v>
      </c>
      <c r="E150" t="s">
        <v>211</v>
      </c>
      <c r="F150" t="s">
        <v>212</v>
      </c>
      <c r="G150">
        <v>1</v>
      </c>
      <c r="H150">
        <v>0</v>
      </c>
      <c r="I150" t="s">
        <v>164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  <c r="IF150">
        <v>-1</v>
      </c>
    </row>
    <row r="151" spans="1:240" x14ac:dyDescent="0.2">
      <c r="A151">
        <v>70</v>
      </c>
      <c r="B151">
        <v>1</v>
      </c>
      <c r="D151">
        <v>17</v>
      </c>
      <c r="E151" t="s">
        <v>213</v>
      </c>
      <c r="F151" t="s">
        <v>214</v>
      </c>
      <c r="G151">
        <v>1</v>
      </c>
      <c r="H151">
        <v>0</v>
      </c>
      <c r="I151" t="s">
        <v>164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  <c r="IF151">
        <v>-1</v>
      </c>
    </row>
    <row r="152" spans="1:240" x14ac:dyDescent="0.2">
      <c r="A152">
        <v>70</v>
      </c>
      <c r="B152">
        <v>1</v>
      </c>
      <c r="D152">
        <v>18</v>
      </c>
      <c r="E152" t="s">
        <v>215</v>
      </c>
      <c r="F152" t="s">
        <v>216</v>
      </c>
      <c r="G152">
        <v>1</v>
      </c>
      <c r="H152">
        <v>0</v>
      </c>
      <c r="I152" t="s">
        <v>164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  <c r="IF152">
        <v>-1</v>
      </c>
    </row>
    <row r="153" spans="1:240" x14ac:dyDescent="0.2">
      <c r="A153">
        <v>70</v>
      </c>
      <c r="B153">
        <v>1</v>
      </c>
      <c r="D153">
        <v>19</v>
      </c>
      <c r="E153" t="s">
        <v>217</v>
      </c>
      <c r="F153" t="s">
        <v>214</v>
      </c>
      <c r="G153">
        <v>1</v>
      </c>
      <c r="H153">
        <v>0</v>
      </c>
      <c r="I153" t="s">
        <v>164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  <c r="IF153">
        <v>-1</v>
      </c>
    </row>
    <row r="154" spans="1:240" x14ac:dyDescent="0.2">
      <c r="A154">
        <v>70</v>
      </c>
      <c r="B154">
        <v>1</v>
      </c>
      <c r="D154">
        <v>20</v>
      </c>
      <c r="E154" t="s">
        <v>218</v>
      </c>
      <c r="F154" t="s">
        <v>216</v>
      </c>
      <c r="G154">
        <v>1</v>
      </c>
      <c r="H154">
        <v>0</v>
      </c>
      <c r="I154" t="s">
        <v>164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  <c r="IF154">
        <v>-1</v>
      </c>
    </row>
    <row r="155" spans="1:240" x14ac:dyDescent="0.2">
      <c r="A155">
        <v>70</v>
      </c>
      <c r="B155">
        <v>1</v>
      </c>
      <c r="D155">
        <v>21</v>
      </c>
      <c r="E155" t="s">
        <v>219</v>
      </c>
      <c r="F155" t="s">
        <v>220</v>
      </c>
      <c r="G155">
        <v>0</v>
      </c>
      <c r="H155">
        <v>0</v>
      </c>
      <c r="I155" t="s">
        <v>164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</v>
      </c>
      <c r="IF155">
        <v>-1</v>
      </c>
    </row>
    <row r="156" spans="1:240" x14ac:dyDescent="0.2">
      <c r="IF156">
        <v>-1</v>
      </c>
    </row>
    <row r="157" spans="1:240" x14ac:dyDescent="0.2">
      <c r="A157">
        <v>-1</v>
      </c>
      <c r="IF157">
        <v>-1</v>
      </c>
    </row>
    <row r="158" spans="1:240" x14ac:dyDescent="0.2">
      <c r="IF158">
        <v>-1</v>
      </c>
    </row>
    <row r="159" spans="1:240" x14ac:dyDescent="0.2">
      <c r="A159" s="4">
        <v>75</v>
      </c>
      <c r="B159" s="4" t="s">
        <v>221</v>
      </c>
      <c r="C159" s="4">
        <v>2000</v>
      </c>
      <c r="D159" s="4">
        <v>0</v>
      </c>
      <c r="E159" s="4">
        <v>1</v>
      </c>
      <c r="F159" s="4">
        <v>0</v>
      </c>
      <c r="G159" s="4">
        <v>0</v>
      </c>
      <c r="H159" s="4">
        <v>1</v>
      </c>
      <c r="I159" s="4">
        <v>0</v>
      </c>
      <c r="J159" s="4">
        <v>4</v>
      </c>
      <c r="K159" s="4">
        <v>0</v>
      </c>
      <c r="L159" s="4">
        <v>0</v>
      </c>
      <c r="M159" s="4">
        <v>0</v>
      </c>
      <c r="N159" s="4">
        <v>34748518</v>
      </c>
      <c r="O159" s="4">
        <v>1</v>
      </c>
      <c r="IF159">
        <v>-1</v>
      </c>
    </row>
    <row r="160" spans="1:240" x14ac:dyDescent="0.2">
      <c r="A160" s="4">
        <v>75</v>
      </c>
      <c r="B160" s="4" t="s">
        <v>222</v>
      </c>
      <c r="C160" s="4">
        <v>2018</v>
      </c>
      <c r="D160" s="4">
        <v>1</v>
      </c>
      <c r="E160" s="4">
        <v>0</v>
      </c>
      <c r="F160" s="4">
        <v>0</v>
      </c>
      <c r="G160" s="4">
        <v>0</v>
      </c>
      <c r="H160" s="4">
        <v>1</v>
      </c>
      <c r="I160" s="4">
        <v>0</v>
      </c>
      <c r="J160" s="4">
        <v>4</v>
      </c>
      <c r="K160" s="4">
        <v>0</v>
      </c>
      <c r="L160" s="4">
        <v>0</v>
      </c>
      <c r="M160" s="4">
        <v>1</v>
      </c>
      <c r="N160" s="4">
        <v>34748540</v>
      </c>
      <c r="O160" s="4">
        <v>2</v>
      </c>
      <c r="IF160">
        <v>-1</v>
      </c>
    </row>
    <row r="161" spans="1:240" x14ac:dyDescent="0.2">
      <c r="A161" s="6">
        <v>3</v>
      </c>
      <c r="B161" s="6" t="s">
        <v>223</v>
      </c>
      <c r="C161" s="6">
        <v>12.5</v>
      </c>
      <c r="D161" s="6">
        <v>7.5</v>
      </c>
      <c r="E161" s="6">
        <v>12.5</v>
      </c>
      <c r="F161" s="6">
        <v>18.3</v>
      </c>
      <c r="G161" s="6">
        <v>18.3</v>
      </c>
      <c r="H161" s="6">
        <v>7.5</v>
      </c>
      <c r="I161" s="6">
        <v>18.3</v>
      </c>
      <c r="J161" s="6">
        <v>1</v>
      </c>
      <c r="K161" s="6">
        <v>18.3</v>
      </c>
      <c r="L161" s="6">
        <v>12.5</v>
      </c>
      <c r="M161" s="6">
        <v>12.5</v>
      </c>
      <c r="N161" s="6">
        <v>7.5</v>
      </c>
      <c r="O161" s="6">
        <v>7.5</v>
      </c>
      <c r="P161" s="6">
        <v>18.3</v>
      </c>
      <c r="Q161" s="6">
        <v>18.3</v>
      </c>
      <c r="R161" s="6">
        <v>12.5</v>
      </c>
      <c r="S161" s="6" t="s">
        <v>3</v>
      </c>
      <c r="T161" s="6" t="s">
        <v>3</v>
      </c>
      <c r="U161" s="6" t="s">
        <v>3</v>
      </c>
      <c r="V161" s="6" t="s">
        <v>3</v>
      </c>
      <c r="W161" s="6" t="s">
        <v>3</v>
      </c>
      <c r="X161" s="6" t="s">
        <v>3</v>
      </c>
      <c r="Y161" s="6" t="s">
        <v>3</v>
      </c>
      <c r="Z161" s="6" t="s">
        <v>3</v>
      </c>
      <c r="AA161" s="6" t="s">
        <v>3</v>
      </c>
      <c r="AB161" s="6" t="s">
        <v>3</v>
      </c>
      <c r="AC161" s="6" t="s">
        <v>3</v>
      </c>
      <c r="AD161" s="6" t="s">
        <v>3</v>
      </c>
      <c r="AE161" s="6" t="s">
        <v>3</v>
      </c>
      <c r="AF161" s="6" t="s">
        <v>3</v>
      </c>
      <c r="AG161" s="6" t="s">
        <v>3</v>
      </c>
      <c r="AH161" s="6" t="s">
        <v>3</v>
      </c>
      <c r="IF161">
        <v>-1</v>
      </c>
    </row>
    <row r="162" spans="1:240" x14ac:dyDescent="0.2">
      <c r="IF162">
        <v>-1</v>
      </c>
    </row>
    <row r="163" spans="1:240" x14ac:dyDescent="0.2">
      <c r="IF163">
        <v>-1</v>
      </c>
    </row>
    <row r="164" spans="1:240" x14ac:dyDescent="0.2">
      <c r="IF164">
        <v>-1</v>
      </c>
    </row>
    <row r="165" spans="1:240" x14ac:dyDescent="0.2">
      <c r="A165">
        <v>65</v>
      </c>
      <c r="C165">
        <v>1</v>
      </c>
      <c r="D165">
        <v>0</v>
      </c>
      <c r="E165">
        <v>245</v>
      </c>
      <c r="IF165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224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565256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34748518</v>
      </c>
      <c r="E14" s="1">
        <v>34748540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12</v>
      </c>
      <c r="D16" s="7" t="s">
        <v>12</v>
      </c>
      <c r="E16" s="8">
        <f>(Source!F84)/1000</f>
        <v>28.173400000000001</v>
      </c>
      <c r="F16" s="8">
        <f>(Source!F85)/1000</f>
        <v>0.34011000000000002</v>
      </c>
      <c r="G16" s="8">
        <f>(Source!F76)/1000</f>
        <v>0</v>
      </c>
      <c r="H16" s="8">
        <f>(Source!F86)/1000+(Source!F87)/1000</f>
        <v>4.2540000000000001E-2</v>
      </c>
      <c r="I16" s="8">
        <f>E16+F16+G16+H16</f>
        <v>28.556049999999999</v>
      </c>
      <c r="J16" s="8">
        <f>(Source!F82)/1000</f>
        <v>0.52388999999999997</v>
      </c>
      <c r="T16" s="9">
        <f>(Source!P84)/1000</f>
        <v>352.16728999999998</v>
      </c>
      <c r="U16" s="9">
        <f>(Source!P85)/1000</f>
        <v>4.2509700000000006</v>
      </c>
      <c r="V16" s="9">
        <f>(Source!P76)/1000</f>
        <v>0</v>
      </c>
      <c r="W16" s="9">
        <f>(Source!P86)/1000+(Source!P87)/1000</f>
        <v>0.77844000000000002</v>
      </c>
      <c r="X16" s="9">
        <f>T16+U16+V16+W16</f>
        <v>357.19669999999996</v>
      </c>
      <c r="Y16" s="9">
        <f>(Source!P82)/1000</f>
        <v>6.6688999999999998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27393.43</v>
      </c>
      <c r="AU16" s="8">
        <v>24254.52</v>
      </c>
      <c r="AV16" s="8">
        <v>0</v>
      </c>
      <c r="AW16" s="8">
        <v>0</v>
      </c>
      <c r="AX16" s="8">
        <v>0</v>
      </c>
      <c r="AY16" s="8">
        <v>2615.02</v>
      </c>
      <c r="AZ16" s="8">
        <v>198.01</v>
      </c>
      <c r="BA16" s="8">
        <v>523.89</v>
      </c>
      <c r="BB16" s="8">
        <v>28173.4</v>
      </c>
      <c r="BC16" s="8">
        <v>340.11</v>
      </c>
      <c r="BD16" s="8">
        <v>42.54</v>
      </c>
      <c r="BE16" s="8">
        <v>0</v>
      </c>
      <c r="BF16" s="8">
        <v>53.182400000000001</v>
      </c>
      <c r="BG16" s="8">
        <v>16.384500000000003</v>
      </c>
      <c r="BH16" s="8">
        <v>0</v>
      </c>
      <c r="BI16" s="8">
        <v>720.84</v>
      </c>
      <c r="BJ16" s="8">
        <v>441.78</v>
      </c>
      <c r="BK16" s="8">
        <v>28556.05</v>
      </c>
      <c r="BR16" s="9">
        <v>342538.11</v>
      </c>
      <c r="BS16" s="9">
        <v>303181.51</v>
      </c>
      <c r="BT16" s="9">
        <v>0</v>
      </c>
      <c r="BU16" s="9">
        <v>0</v>
      </c>
      <c r="BV16" s="9">
        <v>0</v>
      </c>
      <c r="BW16" s="9">
        <v>32687.7</v>
      </c>
      <c r="BX16" s="9">
        <v>2475.09</v>
      </c>
      <c r="BY16" s="9">
        <v>6668.9</v>
      </c>
      <c r="BZ16" s="9">
        <v>352167.29</v>
      </c>
      <c r="CA16" s="9">
        <v>4250.97</v>
      </c>
      <c r="CB16" s="9">
        <v>778.44</v>
      </c>
      <c r="CC16" s="9">
        <v>0</v>
      </c>
      <c r="CD16" s="9">
        <v>53.182400000000001</v>
      </c>
      <c r="CE16" s="9">
        <v>16.384500000000003</v>
      </c>
      <c r="CF16" s="9">
        <v>0</v>
      </c>
      <c r="CG16" s="9">
        <v>9088.41</v>
      </c>
      <c r="CH16" s="9">
        <v>5570.18</v>
      </c>
      <c r="CI16" s="9">
        <v>357196.7</v>
      </c>
    </row>
    <row r="18" spans="1:40" x14ac:dyDescent="0.2">
      <c r="A18">
        <v>51</v>
      </c>
      <c r="E18" s="10">
        <f>SUMIF(A16:A17,3,E16:E17)</f>
        <v>28.173400000000001</v>
      </c>
      <c r="F18" s="10">
        <f>SUMIF(A16:A17,3,F16:F17)</f>
        <v>0.34011000000000002</v>
      </c>
      <c r="G18" s="10">
        <f>SUMIF(A16:A17,3,G16:G17)</f>
        <v>0</v>
      </c>
      <c r="H18" s="10">
        <f>SUMIF(A16:A17,3,H16:H17)</f>
        <v>4.2540000000000001E-2</v>
      </c>
      <c r="I18" s="10">
        <f>SUMIF(A16:A17,3,I16:I17)</f>
        <v>28.556049999999999</v>
      </c>
      <c r="J18" s="10">
        <f>SUMIF(A16:A17,3,J16:J17)</f>
        <v>0.52388999999999997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352.16728999999998</v>
      </c>
      <c r="U18" s="3">
        <f>SUMIF(A16:A17,3,U16:U17)</f>
        <v>4.2509700000000006</v>
      </c>
      <c r="V18" s="3">
        <f>SUMIF(A16:A17,3,V16:V17)</f>
        <v>0</v>
      </c>
      <c r="W18" s="3">
        <f>SUMIF(A16:A17,3,W16:W17)</f>
        <v>0.77844000000000002</v>
      </c>
      <c r="X18" s="3">
        <f>SUMIF(A16:A17,3,X16:X17)</f>
        <v>357.19669999999996</v>
      </c>
      <c r="Y18" s="3">
        <f>SUMIF(A16:A17,3,Y16:Y17)</f>
        <v>6.6688999999999998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27393.43</v>
      </c>
      <c r="G20" s="5" t="s">
        <v>110</v>
      </c>
      <c r="H20" s="5" t="s">
        <v>111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342538.11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24254.52</v>
      </c>
      <c r="G21" s="5" t="s">
        <v>112</v>
      </c>
      <c r="H21" s="5" t="s">
        <v>113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303181.51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114</v>
      </c>
      <c r="H22" s="5" t="s">
        <v>115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24254.52</v>
      </c>
      <c r="G23" s="5" t="s">
        <v>116</v>
      </c>
      <c r="H23" s="5" t="s">
        <v>117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303181.51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24254.52</v>
      </c>
      <c r="G24" s="5" t="s">
        <v>118</v>
      </c>
      <c r="H24" s="5" t="s">
        <v>119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303181.51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120</v>
      </c>
      <c r="H25" s="5" t="s">
        <v>121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24254.52</v>
      </c>
      <c r="G26" s="5" t="s">
        <v>122</v>
      </c>
      <c r="H26" s="5" t="s">
        <v>123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303181.51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124</v>
      </c>
      <c r="H27" s="5" t="s">
        <v>125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126</v>
      </c>
      <c r="H28" s="5" t="s">
        <v>127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128</v>
      </c>
      <c r="H29" s="5" t="s">
        <v>129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2615.02</v>
      </c>
      <c r="G30" s="5" t="s">
        <v>130</v>
      </c>
      <c r="H30" s="5" t="s">
        <v>131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32687.7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132</v>
      </c>
      <c r="H31" s="5" t="s">
        <v>133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198.01</v>
      </c>
      <c r="G32" s="5" t="s">
        <v>134</v>
      </c>
      <c r="H32" s="5" t="s">
        <v>135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2475.09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523.89</v>
      </c>
      <c r="G33" s="5" t="s">
        <v>136</v>
      </c>
      <c r="H33" s="5" t="s">
        <v>137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6668.9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138</v>
      </c>
      <c r="H34" s="5" t="s">
        <v>139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28173.4</v>
      </c>
      <c r="G35" s="5" t="s">
        <v>140</v>
      </c>
      <c r="H35" s="5" t="s">
        <v>141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352167.29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340.11</v>
      </c>
      <c r="G36" s="5" t="s">
        <v>142</v>
      </c>
      <c r="H36" s="5" t="s">
        <v>143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4250.97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42.54</v>
      </c>
      <c r="G37" s="5" t="s">
        <v>144</v>
      </c>
      <c r="H37" s="5" t="s">
        <v>145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778.44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146</v>
      </c>
      <c r="H38" s="5" t="s">
        <v>147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148</v>
      </c>
      <c r="H39" s="5" t="s">
        <v>149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53.182400000000001</v>
      </c>
      <c r="G40" s="5" t="s">
        <v>150</v>
      </c>
      <c r="H40" s="5" t="s">
        <v>151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53.182400000000001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16.384500000000003</v>
      </c>
      <c r="G41" s="5" t="s">
        <v>152</v>
      </c>
      <c r="H41" s="5" t="s">
        <v>153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16.384500000000003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154</v>
      </c>
      <c r="H42" s="5" t="s">
        <v>155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720.84</v>
      </c>
      <c r="G43" s="5" t="s">
        <v>156</v>
      </c>
      <c r="H43" s="5" t="s">
        <v>157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9088.41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441.78</v>
      </c>
      <c r="G44" s="5" t="s">
        <v>158</v>
      </c>
      <c r="H44" s="5" t="s">
        <v>159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5570.18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28556.05</v>
      </c>
      <c r="G45" s="5" t="s">
        <v>160</v>
      </c>
      <c r="H45" s="5" t="s">
        <v>161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357196.7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221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34748518</v>
      </c>
      <c r="O50" s="4">
        <v>1</v>
      </c>
    </row>
    <row r="51" spans="1:34" x14ac:dyDescent="0.2">
      <c r="A51" s="4">
        <v>75</v>
      </c>
      <c r="B51" s="4" t="s">
        <v>222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34748540</v>
      </c>
      <c r="O51" s="4">
        <v>2</v>
      </c>
    </row>
    <row r="52" spans="1:34" x14ac:dyDescent="0.2">
      <c r="A52" s="6">
        <v>3</v>
      </c>
      <c r="B52" s="6" t="s">
        <v>223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1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0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200" x14ac:dyDescent="0.2">
      <c r="A1">
        <f>ROW(Source!A24)</f>
        <v>24</v>
      </c>
      <c r="B1">
        <v>34748518</v>
      </c>
      <c r="C1">
        <v>34748680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225</v>
      </c>
      <c r="J1" t="s">
        <v>3</v>
      </c>
      <c r="K1" t="s">
        <v>226</v>
      </c>
      <c r="L1">
        <v>1191</v>
      </c>
      <c r="N1">
        <v>1013</v>
      </c>
      <c r="O1" t="s">
        <v>227</v>
      </c>
      <c r="P1" t="s">
        <v>227</v>
      </c>
      <c r="Q1">
        <v>1</v>
      </c>
      <c r="W1">
        <v>0</v>
      </c>
      <c r="X1">
        <v>-400197608</v>
      </c>
      <c r="Y1">
        <v>5.49</v>
      </c>
      <c r="AA1">
        <v>0</v>
      </c>
      <c r="AB1">
        <v>0</v>
      </c>
      <c r="AC1">
        <v>0</v>
      </c>
      <c r="AD1">
        <v>8.5299999999999994</v>
      </c>
      <c r="AE1">
        <v>0</v>
      </c>
      <c r="AF1">
        <v>0</v>
      </c>
      <c r="AG1">
        <v>0</v>
      </c>
      <c r="AH1">
        <v>8.5299999999999994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5.49</v>
      </c>
      <c r="AU1" t="s">
        <v>3</v>
      </c>
      <c r="AV1">
        <v>1</v>
      </c>
      <c r="AW1">
        <v>2</v>
      </c>
      <c r="AX1">
        <v>34748681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0.43920000000000003</v>
      </c>
      <c r="CY1">
        <f>AD1</f>
        <v>8.5299999999999994</v>
      </c>
      <c r="CZ1">
        <f>AH1</f>
        <v>8.5299999999999994</v>
      </c>
      <c r="DA1">
        <f>AL1</f>
        <v>1</v>
      </c>
      <c r="DB1">
        <f t="shared" ref="DB1:DB32" si="0">ROUND(ROUND(AT1*CZ1,2),2)</f>
        <v>46.83</v>
      </c>
      <c r="DC1">
        <f t="shared" ref="DC1:DC32" si="1">ROUND(ROUND(AT1*AG1,2),2)</f>
        <v>0</v>
      </c>
      <c r="GQ1">
        <v>-1</v>
      </c>
      <c r="GR1">
        <v>-1</v>
      </c>
    </row>
    <row r="2" spans="1:200" x14ac:dyDescent="0.2">
      <c r="A2">
        <f>ROW(Source!A25)</f>
        <v>25</v>
      </c>
      <c r="B2">
        <v>34748540</v>
      </c>
      <c r="C2">
        <v>34748680</v>
      </c>
      <c r="D2">
        <v>31709863</v>
      </c>
      <c r="E2">
        <v>1</v>
      </c>
      <c r="F2">
        <v>1</v>
      </c>
      <c r="G2">
        <v>1</v>
      </c>
      <c r="H2">
        <v>1</v>
      </c>
      <c r="I2" t="s">
        <v>225</v>
      </c>
      <c r="J2" t="s">
        <v>3</v>
      </c>
      <c r="K2" t="s">
        <v>226</v>
      </c>
      <c r="L2">
        <v>1191</v>
      </c>
      <c r="N2">
        <v>1013</v>
      </c>
      <c r="O2" t="s">
        <v>227</v>
      </c>
      <c r="P2" t="s">
        <v>227</v>
      </c>
      <c r="Q2">
        <v>1</v>
      </c>
      <c r="W2">
        <v>0</v>
      </c>
      <c r="X2">
        <v>-400197608</v>
      </c>
      <c r="Y2">
        <v>5.49</v>
      </c>
      <c r="AA2">
        <v>0</v>
      </c>
      <c r="AB2">
        <v>0</v>
      </c>
      <c r="AC2">
        <v>0</v>
      </c>
      <c r="AD2">
        <v>106.63</v>
      </c>
      <c r="AE2">
        <v>0</v>
      </c>
      <c r="AF2">
        <v>0</v>
      </c>
      <c r="AG2">
        <v>0</v>
      </c>
      <c r="AH2">
        <v>8.5299999999999994</v>
      </c>
      <c r="AI2">
        <v>1</v>
      </c>
      <c r="AJ2">
        <v>1</v>
      </c>
      <c r="AK2">
        <v>1</v>
      </c>
      <c r="AL2">
        <v>12.5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5.49</v>
      </c>
      <c r="AU2" t="s">
        <v>3</v>
      </c>
      <c r="AV2">
        <v>1</v>
      </c>
      <c r="AW2">
        <v>2</v>
      </c>
      <c r="AX2">
        <v>34748681</v>
      </c>
      <c r="AY2">
        <v>1</v>
      </c>
      <c r="AZ2">
        <v>0</v>
      </c>
      <c r="BA2">
        <v>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Y2*Source!I25</f>
        <v>0.43920000000000003</v>
      </c>
      <c r="CY2">
        <f>AD2</f>
        <v>106.63</v>
      </c>
      <c r="CZ2">
        <f>AH2</f>
        <v>8.5299999999999994</v>
      </c>
      <c r="DA2">
        <f>AL2</f>
        <v>12.5</v>
      </c>
      <c r="DB2">
        <f t="shared" si="0"/>
        <v>46.83</v>
      </c>
      <c r="DC2">
        <f t="shared" si="1"/>
        <v>0</v>
      </c>
      <c r="GQ2">
        <v>-1</v>
      </c>
      <c r="GR2">
        <v>-1</v>
      </c>
    </row>
    <row r="3" spans="1:200" x14ac:dyDescent="0.2">
      <c r="A3">
        <f>ROW(Source!A26)</f>
        <v>26</v>
      </c>
      <c r="B3">
        <v>34748518</v>
      </c>
      <c r="C3">
        <v>34748793</v>
      </c>
      <c r="D3">
        <v>31714858</v>
      </c>
      <c r="E3">
        <v>1</v>
      </c>
      <c r="F3">
        <v>1</v>
      </c>
      <c r="G3">
        <v>1</v>
      </c>
      <c r="H3">
        <v>1</v>
      </c>
      <c r="I3" t="s">
        <v>228</v>
      </c>
      <c r="J3" t="s">
        <v>3</v>
      </c>
      <c r="K3" t="s">
        <v>229</v>
      </c>
      <c r="L3">
        <v>1191</v>
      </c>
      <c r="N3">
        <v>1013</v>
      </c>
      <c r="O3" t="s">
        <v>227</v>
      </c>
      <c r="P3" t="s">
        <v>227</v>
      </c>
      <c r="Q3">
        <v>1</v>
      </c>
      <c r="W3">
        <v>0</v>
      </c>
      <c r="X3">
        <v>1627947075</v>
      </c>
      <c r="Y3">
        <v>12.18</v>
      </c>
      <c r="AA3">
        <v>0</v>
      </c>
      <c r="AB3">
        <v>0</v>
      </c>
      <c r="AC3">
        <v>0</v>
      </c>
      <c r="AD3">
        <v>10.35</v>
      </c>
      <c r="AE3">
        <v>0</v>
      </c>
      <c r="AF3">
        <v>0</v>
      </c>
      <c r="AG3">
        <v>0</v>
      </c>
      <c r="AH3">
        <v>10.35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12.18</v>
      </c>
      <c r="AU3" t="s">
        <v>3</v>
      </c>
      <c r="AV3">
        <v>1</v>
      </c>
      <c r="AW3">
        <v>2</v>
      </c>
      <c r="AX3">
        <v>34748794</v>
      </c>
      <c r="AY3">
        <v>1</v>
      </c>
      <c r="AZ3">
        <v>0</v>
      </c>
      <c r="BA3">
        <v>5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Y3*Source!I26</f>
        <v>12.18</v>
      </c>
      <c r="CY3">
        <f>AD3</f>
        <v>10.35</v>
      </c>
      <c r="CZ3">
        <f>AH3</f>
        <v>10.35</v>
      </c>
      <c r="DA3">
        <f>AL3</f>
        <v>1</v>
      </c>
      <c r="DB3">
        <f t="shared" si="0"/>
        <v>126.06</v>
      </c>
      <c r="DC3">
        <f t="shared" si="1"/>
        <v>0</v>
      </c>
      <c r="GQ3">
        <v>-1</v>
      </c>
      <c r="GR3">
        <v>-1</v>
      </c>
    </row>
    <row r="4" spans="1:200" x14ac:dyDescent="0.2">
      <c r="A4">
        <f>ROW(Source!A26)</f>
        <v>26</v>
      </c>
      <c r="B4">
        <v>34748518</v>
      </c>
      <c r="C4">
        <v>34748793</v>
      </c>
      <c r="D4">
        <v>31709492</v>
      </c>
      <c r="E4">
        <v>1</v>
      </c>
      <c r="F4">
        <v>1</v>
      </c>
      <c r="G4">
        <v>1</v>
      </c>
      <c r="H4">
        <v>1</v>
      </c>
      <c r="I4" t="s">
        <v>230</v>
      </c>
      <c r="J4" t="s">
        <v>3</v>
      </c>
      <c r="K4" t="s">
        <v>231</v>
      </c>
      <c r="L4">
        <v>1191</v>
      </c>
      <c r="N4">
        <v>1013</v>
      </c>
      <c r="O4" t="s">
        <v>227</v>
      </c>
      <c r="P4" t="s">
        <v>227</v>
      </c>
      <c r="Q4">
        <v>1</v>
      </c>
      <c r="W4">
        <v>0</v>
      </c>
      <c r="X4">
        <v>-1417349443</v>
      </c>
      <c r="Y4">
        <v>6.33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6.33</v>
      </c>
      <c r="AU4" t="s">
        <v>3</v>
      </c>
      <c r="AV4">
        <v>2</v>
      </c>
      <c r="AW4">
        <v>2</v>
      </c>
      <c r="AX4">
        <v>34748795</v>
      </c>
      <c r="AY4">
        <v>1</v>
      </c>
      <c r="AZ4">
        <v>0</v>
      </c>
      <c r="BA4">
        <v>6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Y4*Source!I26</f>
        <v>6.33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  <c r="GQ4">
        <v>-1</v>
      </c>
      <c r="GR4">
        <v>-1</v>
      </c>
    </row>
    <row r="5" spans="1:200" x14ac:dyDescent="0.2">
      <c r="A5">
        <f>ROW(Source!A26)</f>
        <v>26</v>
      </c>
      <c r="B5">
        <v>34748518</v>
      </c>
      <c r="C5">
        <v>34748793</v>
      </c>
      <c r="D5">
        <v>31527922</v>
      </c>
      <c r="E5">
        <v>1</v>
      </c>
      <c r="F5">
        <v>1</v>
      </c>
      <c r="G5">
        <v>1</v>
      </c>
      <c r="H5">
        <v>2</v>
      </c>
      <c r="I5" t="s">
        <v>232</v>
      </c>
      <c r="J5" t="s">
        <v>233</v>
      </c>
      <c r="K5" t="s">
        <v>234</v>
      </c>
      <c r="L5">
        <v>1368</v>
      </c>
      <c r="N5">
        <v>1011</v>
      </c>
      <c r="O5" t="s">
        <v>235</v>
      </c>
      <c r="P5" t="s">
        <v>235</v>
      </c>
      <c r="Q5">
        <v>1</v>
      </c>
      <c r="W5">
        <v>0</v>
      </c>
      <c r="X5">
        <v>1232026932</v>
      </c>
      <c r="Y5">
        <v>6.33</v>
      </c>
      <c r="AA5">
        <v>0</v>
      </c>
      <c r="AB5">
        <v>273.31</v>
      </c>
      <c r="AC5">
        <v>13.5</v>
      </c>
      <c r="AD5">
        <v>0</v>
      </c>
      <c r="AE5">
        <v>0</v>
      </c>
      <c r="AF5">
        <v>273.31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6.33</v>
      </c>
      <c r="AU5" t="s">
        <v>3</v>
      </c>
      <c r="AV5">
        <v>0</v>
      </c>
      <c r="AW5">
        <v>2</v>
      </c>
      <c r="AX5">
        <v>34748796</v>
      </c>
      <c r="AY5">
        <v>1</v>
      </c>
      <c r="AZ5">
        <v>0</v>
      </c>
      <c r="BA5">
        <v>7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6.33</v>
      </c>
      <c r="CY5">
        <f>AB5</f>
        <v>273.31</v>
      </c>
      <c r="CZ5">
        <f>AF5</f>
        <v>273.31</v>
      </c>
      <c r="DA5">
        <f>AJ5</f>
        <v>1</v>
      </c>
      <c r="DB5">
        <f t="shared" si="0"/>
        <v>1730.05</v>
      </c>
      <c r="DC5">
        <f t="shared" si="1"/>
        <v>85.46</v>
      </c>
      <c r="GQ5">
        <v>-1</v>
      </c>
      <c r="GR5">
        <v>-1</v>
      </c>
    </row>
    <row r="6" spans="1:200" x14ac:dyDescent="0.2">
      <c r="A6">
        <f>ROW(Source!A26)</f>
        <v>26</v>
      </c>
      <c r="B6">
        <v>34748518</v>
      </c>
      <c r="C6">
        <v>34748793</v>
      </c>
      <c r="D6">
        <v>31447073</v>
      </c>
      <c r="E6">
        <v>1</v>
      </c>
      <c r="F6">
        <v>1</v>
      </c>
      <c r="G6">
        <v>1</v>
      </c>
      <c r="H6">
        <v>3</v>
      </c>
      <c r="I6" t="s">
        <v>236</v>
      </c>
      <c r="J6" t="s">
        <v>237</v>
      </c>
      <c r="K6" t="s">
        <v>238</v>
      </c>
      <c r="L6">
        <v>1346</v>
      </c>
      <c r="N6">
        <v>1009</v>
      </c>
      <c r="O6" t="s">
        <v>239</v>
      </c>
      <c r="P6" t="s">
        <v>239</v>
      </c>
      <c r="Q6">
        <v>1</v>
      </c>
      <c r="W6">
        <v>0</v>
      </c>
      <c r="X6">
        <v>382130935</v>
      </c>
      <c r="Y6">
        <v>0.38</v>
      </c>
      <c r="AA6">
        <v>9.0399999999999991</v>
      </c>
      <c r="AB6">
        <v>0</v>
      </c>
      <c r="AC6">
        <v>0</v>
      </c>
      <c r="AD6">
        <v>0</v>
      </c>
      <c r="AE6">
        <v>9.0399999999999991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0.38</v>
      </c>
      <c r="AU6" t="s">
        <v>3</v>
      </c>
      <c r="AV6">
        <v>0</v>
      </c>
      <c r="AW6">
        <v>2</v>
      </c>
      <c r="AX6">
        <v>34748797</v>
      </c>
      <c r="AY6">
        <v>1</v>
      </c>
      <c r="AZ6">
        <v>0</v>
      </c>
      <c r="BA6">
        <v>8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0.38</v>
      </c>
      <c r="CY6">
        <f t="shared" ref="CY6:CY11" si="2">AA6</f>
        <v>9.0399999999999991</v>
      </c>
      <c r="CZ6">
        <f t="shared" ref="CZ6:CZ11" si="3">AE6</f>
        <v>9.0399999999999991</v>
      </c>
      <c r="DA6">
        <f t="shared" ref="DA6:DA11" si="4">AI6</f>
        <v>1</v>
      </c>
      <c r="DB6">
        <f t="shared" si="0"/>
        <v>3.44</v>
      </c>
      <c r="DC6">
        <f t="shared" si="1"/>
        <v>0</v>
      </c>
      <c r="DH6">
        <f>Source!I26*SmtRes!Y6</f>
        <v>0.38</v>
      </c>
      <c r="DI6">
        <f>AA6</f>
        <v>9.0399999999999991</v>
      </c>
      <c r="DJ6">
        <f>EtalonRes!Y8</f>
        <v>9.0399999999999991</v>
      </c>
      <c r="DK6">
        <f>Source!BC26</f>
        <v>1</v>
      </c>
      <c r="GQ6">
        <v>-1</v>
      </c>
      <c r="GR6">
        <v>-1</v>
      </c>
    </row>
    <row r="7" spans="1:200" x14ac:dyDescent="0.2">
      <c r="A7">
        <f>ROW(Source!A26)</f>
        <v>26</v>
      </c>
      <c r="B7">
        <v>34748518</v>
      </c>
      <c r="C7">
        <v>34748793</v>
      </c>
      <c r="D7">
        <v>31474798</v>
      </c>
      <c r="E7">
        <v>1</v>
      </c>
      <c r="F7">
        <v>1</v>
      </c>
      <c r="G7">
        <v>1</v>
      </c>
      <c r="H7">
        <v>3</v>
      </c>
      <c r="I7" t="s">
        <v>240</v>
      </c>
      <c r="J7" t="s">
        <v>241</v>
      </c>
      <c r="K7" t="s">
        <v>242</v>
      </c>
      <c r="L7">
        <v>1339</v>
      </c>
      <c r="N7">
        <v>1007</v>
      </c>
      <c r="O7" t="s">
        <v>243</v>
      </c>
      <c r="P7" t="s">
        <v>243</v>
      </c>
      <c r="Q7">
        <v>1</v>
      </c>
      <c r="W7">
        <v>0</v>
      </c>
      <c r="X7">
        <v>708891707</v>
      </c>
      <c r="Y7">
        <v>3.0000000000000001E-3</v>
      </c>
      <c r="AA7">
        <v>180.77</v>
      </c>
      <c r="AB7">
        <v>0</v>
      </c>
      <c r="AC7">
        <v>0</v>
      </c>
      <c r="AD7">
        <v>0</v>
      </c>
      <c r="AE7">
        <v>180.77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3.0000000000000001E-3</v>
      </c>
      <c r="AU7" t="s">
        <v>3</v>
      </c>
      <c r="AV7">
        <v>0</v>
      </c>
      <c r="AW7">
        <v>2</v>
      </c>
      <c r="AX7">
        <v>34748798</v>
      </c>
      <c r="AY7">
        <v>1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3.0000000000000001E-3</v>
      </c>
      <c r="CY7">
        <f t="shared" si="2"/>
        <v>180.77</v>
      </c>
      <c r="CZ7">
        <f t="shared" si="3"/>
        <v>180.77</v>
      </c>
      <c r="DA7">
        <f t="shared" si="4"/>
        <v>1</v>
      </c>
      <c r="DB7">
        <f t="shared" si="0"/>
        <v>0.54</v>
      </c>
      <c r="DC7">
        <f t="shared" si="1"/>
        <v>0</v>
      </c>
      <c r="DH7">
        <f>Source!I26*SmtRes!Y7</f>
        <v>3.0000000000000001E-3</v>
      </c>
      <c r="DI7">
        <f>AA7</f>
        <v>180.77</v>
      </c>
      <c r="DJ7">
        <f>EtalonRes!Y9</f>
        <v>180.77</v>
      </c>
      <c r="DK7">
        <f>Source!BC26</f>
        <v>1</v>
      </c>
      <c r="GQ7">
        <v>-1</v>
      </c>
      <c r="GR7">
        <v>-1</v>
      </c>
    </row>
    <row r="8" spans="1:200" x14ac:dyDescent="0.2">
      <c r="A8">
        <f>ROW(Source!A26)</f>
        <v>26</v>
      </c>
      <c r="B8">
        <v>34748518</v>
      </c>
      <c r="C8">
        <v>34748793</v>
      </c>
      <c r="D8">
        <v>31483458</v>
      </c>
      <c r="E8">
        <v>1</v>
      </c>
      <c r="F8">
        <v>1</v>
      </c>
      <c r="G8">
        <v>1</v>
      </c>
      <c r="H8">
        <v>3</v>
      </c>
      <c r="I8" t="s">
        <v>244</v>
      </c>
      <c r="J8" t="s">
        <v>245</v>
      </c>
      <c r="K8" t="s">
        <v>246</v>
      </c>
      <c r="L8">
        <v>1346</v>
      </c>
      <c r="N8">
        <v>1009</v>
      </c>
      <c r="O8" t="s">
        <v>239</v>
      </c>
      <c r="P8" t="s">
        <v>239</v>
      </c>
      <c r="Q8">
        <v>1</v>
      </c>
      <c r="W8">
        <v>0</v>
      </c>
      <c r="X8">
        <v>1623934919</v>
      </c>
      <c r="Y8">
        <v>0.78</v>
      </c>
      <c r="AA8">
        <v>9.61</v>
      </c>
      <c r="AB8">
        <v>0</v>
      </c>
      <c r="AC8">
        <v>0</v>
      </c>
      <c r="AD8">
        <v>0</v>
      </c>
      <c r="AE8">
        <v>9.61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0.78</v>
      </c>
      <c r="AU8" t="s">
        <v>3</v>
      </c>
      <c r="AV8">
        <v>0</v>
      </c>
      <c r="AW8">
        <v>2</v>
      </c>
      <c r="AX8">
        <v>34748799</v>
      </c>
      <c r="AY8">
        <v>1</v>
      </c>
      <c r="AZ8">
        <v>0</v>
      </c>
      <c r="BA8">
        <v>10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0.78</v>
      </c>
      <c r="CY8">
        <f t="shared" si="2"/>
        <v>9.61</v>
      </c>
      <c r="CZ8">
        <f t="shared" si="3"/>
        <v>9.61</v>
      </c>
      <c r="DA8">
        <f t="shared" si="4"/>
        <v>1</v>
      </c>
      <c r="DB8">
        <f t="shared" si="0"/>
        <v>7.5</v>
      </c>
      <c r="DC8">
        <f t="shared" si="1"/>
        <v>0</v>
      </c>
      <c r="DH8">
        <f>Source!I26*SmtRes!Y8</f>
        <v>0.78</v>
      </c>
      <c r="DI8">
        <f>AA8</f>
        <v>9.61</v>
      </c>
      <c r="DJ8">
        <f>EtalonRes!Y10</f>
        <v>9.61</v>
      </c>
      <c r="DK8">
        <f>Source!BC26</f>
        <v>1</v>
      </c>
      <c r="GQ8">
        <v>-1</v>
      </c>
      <c r="GR8">
        <v>-1</v>
      </c>
    </row>
    <row r="9" spans="1:200" x14ac:dyDescent="0.2">
      <c r="A9">
        <f>ROW(Source!A26)</f>
        <v>26</v>
      </c>
      <c r="B9">
        <v>34748518</v>
      </c>
      <c r="C9">
        <v>34748793</v>
      </c>
      <c r="D9">
        <v>31496748</v>
      </c>
      <c r="E9">
        <v>1</v>
      </c>
      <c r="F9">
        <v>1</v>
      </c>
      <c r="G9">
        <v>1</v>
      </c>
      <c r="H9">
        <v>3</v>
      </c>
      <c r="I9" t="s">
        <v>247</v>
      </c>
      <c r="J9" t="s">
        <v>248</v>
      </c>
      <c r="K9" t="s">
        <v>249</v>
      </c>
      <c r="L9">
        <v>1355</v>
      </c>
      <c r="N9">
        <v>1010</v>
      </c>
      <c r="O9" t="s">
        <v>250</v>
      </c>
      <c r="P9" t="s">
        <v>250</v>
      </c>
      <c r="Q9">
        <v>100</v>
      </c>
      <c r="W9">
        <v>0</v>
      </c>
      <c r="X9">
        <v>-1639385543</v>
      </c>
      <c r="Y9">
        <v>0.02</v>
      </c>
      <c r="AA9">
        <v>409</v>
      </c>
      <c r="AB9">
        <v>0</v>
      </c>
      <c r="AC9">
        <v>0</v>
      </c>
      <c r="AD9">
        <v>0</v>
      </c>
      <c r="AE9">
        <v>409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0.02</v>
      </c>
      <c r="AU9" t="s">
        <v>3</v>
      </c>
      <c r="AV9">
        <v>0</v>
      </c>
      <c r="AW9">
        <v>2</v>
      </c>
      <c r="AX9">
        <v>34748800</v>
      </c>
      <c r="AY9">
        <v>1</v>
      </c>
      <c r="AZ9">
        <v>0</v>
      </c>
      <c r="BA9">
        <v>11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0.02</v>
      </c>
      <c r="CY9">
        <f t="shared" si="2"/>
        <v>409</v>
      </c>
      <c r="CZ9">
        <f t="shared" si="3"/>
        <v>409</v>
      </c>
      <c r="DA9">
        <f t="shared" si="4"/>
        <v>1</v>
      </c>
      <c r="DB9">
        <f t="shared" si="0"/>
        <v>8.18</v>
      </c>
      <c r="DC9">
        <f t="shared" si="1"/>
        <v>0</v>
      </c>
      <c r="DH9">
        <f>Source!I26*SmtRes!Y9</f>
        <v>0.02</v>
      </c>
      <c r="DI9">
        <f>AA9</f>
        <v>409</v>
      </c>
      <c r="DJ9">
        <f>EtalonRes!Y11</f>
        <v>409</v>
      </c>
      <c r="DK9">
        <f>Source!BC26</f>
        <v>1</v>
      </c>
      <c r="GQ9">
        <v>-1</v>
      </c>
      <c r="GR9">
        <v>-1</v>
      </c>
    </row>
    <row r="10" spans="1:200" x14ac:dyDescent="0.2">
      <c r="A10">
        <f>ROW(Source!A26)</f>
        <v>26</v>
      </c>
      <c r="B10">
        <v>34748518</v>
      </c>
      <c r="C10">
        <v>34748793</v>
      </c>
      <c r="D10">
        <v>31512220</v>
      </c>
      <c r="E10">
        <v>1</v>
      </c>
      <c r="F10">
        <v>1</v>
      </c>
      <c r="G10">
        <v>1</v>
      </c>
      <c r="H10">
        <v>3</v>
      </c>
      <c r="I10" t="s">
        <v>251</v>
      </c>
      <c r="J10" t="s">
        <v>252</v>
      </c>
      <c r="K10" t="s">
        <v>253</v>
      </c>
      <c r="L10">
        <v>1301</v>
      </c>
      <c r="N10">
        <v>1003</v>
      </c>
      <c r="O10" t="s">
        <v>254</v>
      </c>
      <c r="P10" t="s">
        <v>254</v>
      </c>
      <c r="Q10">
        <v>1</v>
      </c>
      <c r="W10">
        <v>0</v>
      </c>
      <c r="X10">
        <v>1533067279</v>
      </c>
      <c r="Y10">
        <v>11</v>
      </c>
      <c r="AA10">
        <v>14.5</v>
      </c>
      <c r="AB10">
        <v>0</v>
      </c>
      <c r="AC10">
        <v>0</v>
      </c>
      <c r="AD10">
        <v>0</v>
      </c>
      <c r="AE10">
        <v>14.5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11</v>
      </c>
      <c r="AU10" t="s">
        <v>3</v>
      </c>
      <c r="AV10">
        <v>0</v>
      </c>
      <c r="AW10">
        <v>2</v>
      </c>
      <c r="AX10">
        <v>34748801</v>
      </c>
      <c r="AY10">
        <v>1</v>
      </c>
      <c r="AZ10">
        <v>0</v>
      </c>
      <c r="BA10">
        <v>12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11</v>
      </c>
      <c r="CY10">
        <f t="shared" si="2"/>
        <v>14.5</v>
      </c>
      <c r="CZ10">
        <f t="shared" si="3"/>
        <v>14.5</v>
      </c>
      <c r="DA10">
        <f t="shared" si="4"/>
        <v>1</v>
      </c>
      <c r="DB10">
        <f t="shared" si="0"/>
        <v>159.5</v>
      </c>
      <c r="DC10">
        <f t="shared" si="1"/>
        <v>0</v>
      </c>
      <c r="DH10">
        <f>Source!I26*SmtRes!Y10</f>
        <v>11</v>
      </c>
      <c r="DI10">
        <f>AA10</f>
        <v>14.5</v>
      </c>
      <c r="DJ10">
        <f>EtalonRes!Y12</f>
        <v>14.5</v>
      </c>
      <c r="DK10">
        <f>Source!BC26</f>
        <v>1</v>
      </c>
      <c r="GQ10">
        <v>-1</v>
      </c>
      <c r="GR10">
        <v>-1</v>
      </c>
    </row>
    <row r="11" spans="1:200" x14ac:dyDescent="0.2">
      <c r="A11">
        <f>ROW(Source!A26)</f>
        <v>26</v>
      </c>
      <c r="B11">
        <v>34748518</v>
      </c>
      <c r="C11">
        <v>34748793</v>
      </c>
      <c r="D11">
        <v>31513891</v>
      </c>
      <c r="E11">
        <v>1</v>
      </c>
      <c r="F11">
        <v>1</v>
      </c>
      <c r="G11">
        <v>1</v>
      </c>
      <c r="H11">
        <v>3</v>
      </c>
      <c r="I11" t="s">
        <v>255</v>
      </c>
      <c r="J11" t="s">
        <v>256</v>
      </c>
      <c r="K11" t="s">
        <v>257</v>
      </c>
      <c r="L11">
        <v>1358</v>
      </c>
      <c r="N11">
        <v>1010</v>
      </c>
      <c r="O11" t="s">
        <v>258</v>
      </c>
      <c r="P11" t="s">
        <v>258</v>
      </c>
      <c r="Q11">
        <v>10</v>
      </c>
      <c r="W11">
        <v>0</v>
      </c>
      <c r="X11">
        <v>1831448994</v>
      </c>
      <c r="Y11">
        <v>0.3</v>
      </c>
      <c r="AA11">
        <v>43.83</v>
      </c>
      <c r="AB11">
        <v>0</v>
      </c>
      <c r="AC11">
        <v>0</v>
      </c>
      <c r="AD11">
        <v>0</v>
      </c>
      <c r="AE11">
        <v>43.83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0.3</v>
      </c>
      <c r="AU11" t="s">
        <v>3</v>
      </c>
      <c r="AV11">
        <v>0</v>
      </c>
      <c r="AW11">
        <v>2</v>
      </c>
      <c r="AX11">
        <v>34748802</v>
      </c>
      <c r="AY11">
        <v>1</v>
      </c>
      <c r="AZ11">
        <v>0</v>
      </c>
      <c r="BA11">
        <v>13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0.3</v>
      </c>
      <c r="CY11">
        <f t="shared" si="2"/>
        <v>43.83</v>
      </c>
      <c r="CZ11">
        <f t="shared" si="3"/>
        <v>43.83</v>
      </c>
      <c r="DA11">
        <f t="shared" si="4"/>
        <v>1</v>
      </c>
      <c r="DB11">
        <f t="shared" si="0"/>
        <v>13.15</v>
      </c>
      <c r="DC11">
        <f t="shared" si="1"/>
        <v>0</v>
      </c>
      <c r="DH11">
        <f>Source!I26*SmtRes!Y11</f>
        <v>0.3</v>
      </c>
      <c r="DI11">
        <f>AA11</f>
        <v>43.83</v>
      </c>
      <c r="DJ11">
        <f>EtalonRes!Y13</f>
        <v>43.83</v>
      </c>
      <c r="DK11">
        <f>Source!BC26</f>
        <v>1</v>
      </c>
      <c r="GQ11">
        <v>-1</v>
      </c>
      <c r="GR11">
        <v>-1</v>
      </c>
    </row>
    <row r="12" spans="1:200" x14ac:dyDescent="0.2">
      <c r="A12">
        <f>ROW(Source!A27)</f>
        <v>27</v>
      </c>
      <c r="B12">
        <v>34748540</v>
      </c>
      <c r="C12">
        <v>34748793</v>
      </c>
      <c r="D12">
        <v>31714858</v>
      </c>
      <c r="E12">
        <v>1</v>
      </c>
      <c r="F12">
        <v>1</v>
      </c>
      <c r="G12">
        <v>1</v>
      </c>
      <c r="H12">
        <v>1</v>
      </c>
      <c r="I12" t="s">
        <v>228</v>
      </c>
      <c r="J12" t="s">
        <v>3</v>
      </c>
      <c r="K12" t="s">
        <v>229</v>
      </c>
      <c r="L12">
        <v>1191</v>
      </c>
      <c r="N12">
        <v>1013</v>
      </c>
      <c r="O12" t="s">
        <v>227</v>
      </c>
      <c r="P12" t="s">
        <v>227</v>
      </c>
      <c r="Q12">
        <v>1</v>
      </c>
      <c r="W12">
        <v>0</v>
      </c>
      <c r="X12">
        <v>1627947075</v>
      </c>
      <c r="Y12">
        <v>12.18</v>
      </c>
      <c r="AA12">
        <v>0</v>
      </c>
      <c r="AB12">
        <v>0</v>
      </c>
      <c r="AC12">
        <v>0</v>
      </c>
      <c r="AD12">
        <v>129.38</v>
      </c>
      <c r="AE12">
        <v>0</v>
      </c>
      <c r="AF12">
        <v>0</v>
      </c>
      <c r="AG12">
        <v>0</v>
      </c>
      <c r="AH12">
        <v>10.35</v>
      </c>
      <c r="AI12">
        <v>1</v>
      </c>
      <c r="AJ12">
        <v>1</v>
      </c>
      <c r="AK12">
        <v>1</v>
      </c>
      <c r="AL12">
        <v>12.5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12.18</v>
      </c>
      <c r="AU12" t="s">
        <v>3</v>
      </c>
      <c r="AV12">
        <v>1</v>
      </c>
      <c r="AW12">
        <v>2</v>
      </c>
      <c r="AX12">
        <v>34748794</v>
      </c>
      <c r="AY12">
        <v>1</v>
      </c>
      <c r="AZ12">
        <v>0</v>
      </c>
      <c r="BA12">
        <v>14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Y12*Source!I27</f>
        <v>12.18</v>
      </c>
      <c r="CY12">
        <f>AD12</f>
        <v>129.38</v>
      </c>
      <c r="CZ12">
        <f>AH12</f>
        <v>10.35</v>
      </c>
      <c r="DA12">
        <f>AL12</f>
        <v>12.5</v>
      </c>
      <c r="DB12">
        <f t="shared" si="0"/>
        <v>126.06</v>
      </c>
      <c r="DC12">
        <f t="shared" si="1"/>
        <v>0</v>
      </c>
      <c r="GQ12">
        <v>-1</v>
      </c>
      <c r="GR12">
        <v>-1</v>
      </c>
    </row>
    <row r="13" spans="1:200" x14ac:dyDescent="0.2">
      <c r="A13">
        <f>ROW(Source!A27)</f>
        <v>27</v>
      </c>
      <c r="B13">
        <v>34748540</v>
      </c>
      <c r="C13">
        <v>34748793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230</v>
      </c>
      <c r="J13" t="s">
        <v>3</v>
      </c>
      <c r="K13" t="s">
        <v>231</v>
      </c>
      <c r="L13">
        <v>1191</v>
      </c>
      <c r="N13">
        <v>1013</v>
      </c>
      <c r="O13" t="s">
        <v>227</v>
      </c>
      <c r="P13" t="s">
        <v>227</v>
      </c>
      <c r="Q13">
        <v>1</v>
      </c>
      <c r="W13">
        <v>0</v>
      </c>
      <c r="X13">
        <v>-1417349443</v>
      </c>
      <c r="Y13">
        <v>6.33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12.5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6.33</v>
      </c>
      <c r="AU13" t="s">
        <v>3</v>
      </c>
      <c r="AV13">
        <v>2</v>
      </c>
      <c r="AW13">
        <v>2</v>
      </c>
      <c r="AX13">
        <v>34748795</v>
      </c>
      <c r="AY13">
        <v>1</v>
      </c>
      <c r="AZ13">
        <v>0</v>
      </c>
      <c r="BA13">
        <v>15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6.33</v>
      </c>
      <c r="CY13">
        <f>AD13</f>
        <v>0</v>
      </c>
      <c r="CZ13">
        <f>AH13</f>
        <v>0</v>
      </c>
      <c r="DA13">
        <f>AL13</f>
        <v>1</v>
      </c>
      <c r="DB13">
        <f t="shared" si="0"/>
        <v>0</v>
      </c>
      <c r="DC13">
        <f t="shared" si="1"/>
        <v>0</v>
      </c>
      <c r="GQ13">
        <v>-1</v>
      </c>
      <c r="GR13">
        <v>-1</v>
      </c>
    </row>
    <row r="14" spans="1:200" x14ac:dyDescent="0.2">
      <c r="A14">
        <f>ROW(Source!A27)</f>
        <v>27</v>
      </c>
      <c r="B14">
        <v>34748540</v>
      </c>
      <c r="C14">
        <v>34748793</v>
      </c>
      <c r="D14">
        <v>31527922</v>
      </c>
      <c r="E14">
        <v>1</v>
      </c>
      <c r="F14">
        <v>1</v>
      </c>
      <c r="G14">
        <v>1</v>
      </c>
      <c r="H14">
        <v>2</v>
      </c>
      <c r="I14" t="s">
        <v>232</v>
      </c>
      <c r="J14" t="s">
        <v>233</v>
      </c>
      <c r="K14" t="s">
        <v>234</v>
      </c>
      <c r="L14">
        <v>1368</v>
      </c>
      <c r="N14">
        <v>1011</v>
      </c>
      <c r="O14" t="s">
        <v>235</v>
      </c>
      <c r="P14" t="s">
        <v>235</v>
      </c>
      <c r="Q14">
        <v>1</v>
      </c>
      <c r="W14">
        <v>0</v>
      </c>
      <c r="X14">
        <v>1232026932</v>
      </c>
      <c r="Y14">
        <v>6.33</v>
      </c>
      <c r="AA14">
        <v>0</v>
      </c>
      <c r="AB14">
        <v>3416.38</v>
      </c>
      <c r="AC14">
        <v>13.5</v>
      </c>
      <c r="AD14">
        <v>0</v>
      </c>
      <c r="AE14">
        <v>0</v>
      </c>
      <c r="AF14">
        <v>273.31</v>
      </c>
      <c r="AG14">
        <v>13.5</v>
      </c>
      <c r="AH14">
        <v>0</v>
      </c>
      <c r="AI14">
        <v>1</v>
      </c>
      <c r="AJ14">
        <v>12.5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6.33</v>
      </c>
      <c r="AU14" t="s">
        <v>3</v>
      </c>
      <c r="AV14">
        <v>0</v>
      </c>
      <c r="AW14">
        <v>2</v>
      </c>
      <c r="AX14">
        <v>34748796</v>
      </c>
      <c r="AY14">
        <v>1</v>
      </c>
      <c r="AZ14">
        <v>0</v>
      </c>
      <c r="BA14">
        <v>16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6.33</v>
      </c>
      <c r="CY14">
        <f>AB14</f>
        <v>3416.38</v>
      </c>
      <c r="CZ14">
        <f>AF14</f>
        <v>273.31</v>
      </c>
      <c r="DA14">
        <f>AJ14</f>
        <v>12.5</v>
      </c>
      <c r="DB14">
        <f t="shared" si="0"/>
        <v>1730.05</v>
      </c>
      <c r="DC14">
        <f t="shared" si="1"/>
        <v>85.46</v>
      </c>
      <c r="GQ14">
        <v>-1</v>
      </c>
      <c r="GR14">
        <v>-1</v>
      </c>
    </row>
    <row r="15" spans="1:200" x14ac:dyDescent="0.2">
      <c r="A15">
        <f>ROW(Source!A27)</f>
        <v>27</v>
      </c>
      <c r="B15">
        <v>34748540</v>
      </c>
      <c r="C15">
        <v>34748793</v>
      </c>
      <c r="D15">
        <v>31447073</v>
      </c>
      <c r="E15">
        <v>1</v>
      </c>
      <c r="F15">
        <v>1</v>
      </c>
      <c r="G15">
        <v>1</v>
      </c>
      <c r="H15">
        <v>3</v>
      </c>
      <c r="I15" t="s">
        <v>236</v>
      </c>
      <c r="J15" t="s">
        <v>237</v>
      </c>
      <c r="K15" t="s">
        <v>238</v>
      </c>
      <c r="L15">
        <v>1346</v>
      </c>
      <c r="N15">
        <v>1009</v>
      </c>
      <c r="O15" t="s">
        <v>239</v>
      </c>
      <c r="P15" t="s">
        <v>239</v>
      </c>
      <c r="Q15">
        <v>1</v>
      </c>
      <c r="W15">
        <v>0</v>
      </c>
      <c r="X15">
        <v>382130935</v>
      </c>
      <c r="Y15">
        <v>0.38</v>
      </c>
      <c r="AA15">
        <v>113</v>
      </c>
      <c r="AB15">
        <v>0</v>
      </c>
      <c r="AC15">
        <v>0</v>
      </c>
      <c r="AD15">
        <v>0</v>
      </c>
      <c r="AE15">
        <v>9.0399999999999991</v>
      </c>
      <c r="AF15">
        <v>0</v>
      </c>
      <c r="AG15">
        <v>0</v>
      </c>
      <c r="AH15">
        <v>0</v>
      </c>
      <c r="AI15">
        <v>12.5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0.38</v>
      </c>
      <c r="AU15" t="s">
        <v>3</v>
      </c>
      <c r="AV15">
        <v>0</v>
      </c>
      <c r="AW15">
        <v>2</v>
      </c>
      <c r="AX15">
        <v>34748797</v>
      </c>
      <c r="AY15">
        <v>1</v>
      </c>
      <c r="AZ15">
        <v>0</v>
      </c>
      <c r="BA15">
        <v>17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0.38</v>
      </c>
      <c r="CY15">
        <f t="shared" ref="CY15:CY20" si="5">AA15</f>
        <v>113</v>
      </c>
      <c r="CZ15">
        <f t="shared" ref="CZ15:CZ20" si="6">AE15</f>
        <v>9.0399999999999991</v>
      </c>
      <c r="DA15">
        <f t="shared" ref="DA15:DA20" si="7">AI15</f>
        <v>12.5</v>
      </c>
      <c r="DB15">
        <f t="shared" si="0"/>
        <v>3.44</v>
      </c>
      <c r="DC15">
        <f t="shared" si="1"/>
        <v>0</v>
      </c>
      <c r="DH15">
        <f>Source!I27*SmtRes!Y15</f>
        <v>0.38</v>
      </c>
      <c r="DI15">
        <f>AA15</f>
        <v>113</v>
      </c>
      <c r="DJ15">
        <f>EtalonRes!Y17</f>
        <v>9.0399999999999991</v>
      </c>
      <c r="DK15">
        <f>Source!BC27</f>
        <v>12.5</v>
      </c>
      <c r="GQ15">
        <v>-1</v>
      </c>
      <c r="GR15">
        <v>-1</v>
      </c>
    </row>
    <row r="16" spans="1:200" x14ac:dyDescent="0.2">
      <c r="A16">
        <f>ROW(Source!A27)</f>
        <v>27</v>
      </c>
      <c r="B16">
        <v>34748540</v>
      </c>
      <c r="C16">
        <v>34748793</v>
      </c>
      <c r="D16">
        <v>31474798</v>
      </c>
      <c r="E16">
        <v>1</v>
      </c>
      <c r="F16">
        <v>1</v>
      </c>
      <c r="G16">
        <v>1</v>
      </c>
      <c r="H16">
        <v>3</v>
      </c>
      <c r="I16" t="s">
        <v>240</v>
      </c>
      <c r="J16" t="s">
        <v>241</v>
      </c>
      <c r="K16" t="s">
        <v>242</v>
      </c>
      <c r="L16">
        <v>1339</v>
      </c>
      <c r="N16">
        <v>1007</v>
      </c>
      <c r="O16" t="s">
        <v>243</v>
      </c>
      <c r="P16" t="s">
        <v>243</v>
      </c>
      <c r="Q16">
        <v>1</v>
      </c>
      <c r="W16">
        <v>0</v>
      </c>
      <c r="X16">
        <v>708891707</v>
      </c>
      <c r="Y16">
        <v>3.0000000000000001E-3</v>
      </c>
      <c r="AA16">
        <v>2259.63</v>
      </c>
      <c r="AB16">
        <v>0</v>
      </c>
      <c r="AC16">
        <v>0</v>
      </c>
      <c r="AD16">
        <v>0</v>
      </c>
      <c r="AE16">
        <v>180.77</v>
      </c>
      <c r="AF16">
        <v>0</v>
      </c>
      <c r="AG16">
        <v>0</v>
      </c>
      <c r="AH16">
        <v>0</v>
      </c>
      <c r="AI16">
        <v>12.5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3.0000000000000001E-3</v>
      </c>
      <c r="AU16" t="s">
        <v>3</v>
      </c>
      <c r="AV16">
        <v>0</v>
      </c>
      <c r="AW16">
        <v>2</v>
      </c>
      <c r="AX16">
        <v>34748798</v>
      </c>
      <c r="AY16">
        <v>1</v>
      </c>
      <c r="AZ16">
        <v>0</v>
      </c>
      <c r="BA16">
        <v>18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3.0000000000000001E-3</v>
      </c>
      <c r="CY16">
        <f t="shared" si="5"/>
        <v>2259.63</v>
      </c>
      <c r="CZ16">
        <f t="shared" si="6"/>
        <v>180.77</v>
      </c>
      <c r="DA16">
        <f t="shared" si="7"/>
        <v>12.5</v>
      </c>
      <c r="DB16">
        <f t="shared" si="0"/>
        <v>0.54</v>
      </c>
      <c r="DC16">
        <f t="shared" si="1"/>
        <v>0</v>
      </c>
      <c r="DH16">
        <f>Source!I27*SmtRes!Y16</f>
        <v>3.0000000000000001E-3</v>
      </c>
      <c r="DI16">
        <f>AA16</f>
        <v>2259.63</v>
      </c>
      <c r="DJ16">
        <f>EtalonRes!Y18</f>
        <v>180.77</v>
      </c>
      <c r="DK16">
        <f>Source!BC27</f>
        <v>12.5</v>
      </c>
      <c r="GQ16">
        <v>-1</v>
      </c>
      <c r="GR16">
        <v>-1</v>
      </c>
    </row>
    <row r="17" spans="1:200" x14ac:dyDescent="0.2">
      <c r="A17">
        <f>ROW(Source!A27)</f>
        <v>27</v>
      </c>
      <c r="B17">
        <v>34748540</v>
      </c>
      <c r="C17">
        <v>34748793</v>
      </c>
      <c r="D17">
        <v>31483458</v>
      </c>
      <c r="E17">
        <v>1</v>
      </c>
      <c r="F17">
        <v>1</v>
      </c>
      <c r="G17">
        <v>1</v>
      </c>
      <c r="H17">
        <v>3</v>
      </c>
      <c r="I17" t="s">
        <v>244</v>
      </c>
      <c r="J17" t="s">
        <v>245</v>
      </c>
      <c r="K17" t="s">
        <v>246</v>
      </c>
      <c r="L17">
        <v>1346</v>
      </c>
      <c r="N17">
        <v>1009</v>
      </c>
      <c r="O17" t="s">
        <v>239</v>
      </c>
      <c r="P17" t="s">
        <v>239</v>
      </c>
      <c r="Q17">
        <v>1</v>
      </c>
      <c r="W17">
        <v>0</v>
      </c>
      <c r="X17">
        <v>1623934919</v>
      </c>
      <c r="Y17">
        <v>0.78</v>
      </c>
      <c r="AA17">
        <v>120.13</v>
      </c>
      <c r="AB17">
        <v>0</v>
      </c>
      <c r="AC17">
        <v>0</v>
      </c>
      <c r="AD17">
        <v>0</v>
      </c>
      <c r="AE17">
        <v>9.61</v>
      </c>
      <c r="AF17">
        <v>0</v>
      </c>
      <c r="AG17">
        <v>0</v>
      </c>
      <c r="AH17">
        <v>0</v>
      </c>
      <c r="AI17">
        <v>12.5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0.78</v>
      </c>
      <c r="AU17" t="s">
        <v>3</v>
      </c>
      <c r="AV17">
        <v>0</v>
      </c>
      <c r="AW17">
        <v>2</v>
      </c>
      <c r="AX17">
        <v>34748799</v>
      </c>
      <c r="AY17">
        <v>1</v>
      </c>
      <c r="AZ17">
        <v>0</v>
      </c>
      <c r="BA17">
        <v>19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0.78</v>
      </c>
      <c r="CY17">
        <f t="shared" si="5"/>
        <v>120.13</v>
      </c>
      <c r="CZ17">
        <f t="shared" si="6"/>
        <v>9.61</v>
      </c>
      <c r="DA17">
        <f t="shared" si="7"/>
        <v>12.5</v>
      </c>
      <c r="DB17">
        <f t="shared" si="0"/>
        <v>7.5</v>
      </c>
      <c r="DC17">
        <f t="shared" si="1"/>
        <v>0</v>
      </c>
      <c r="DH17">
        <f>Source!I27*SmtRes!Y17</f>
        <v>0.78</v>
      </c>
      <c r="DI17">
        <f>AA17</f>
        <v>120.13</v>
      </c>
      <c r="DJ17">
        <f>EtalonRes!Y19</f>
        <v>9.61</v>
      </c>
      <c r="DK17">
        <f>Source!BC27</f>
        <v>12.5</v>
      </c>
      <c r="GQ17">
        <v>-1</v>
      </c>
      <c r="GR17">
        <v>-1</v>
      </c>
    </row>
    <row r="18" spans="1:200" x14ac:dyDescent="0.2">
      <c r="A18">
        <f>ROW(Source!A27)</f>
        <v>27</v>
      </c>
      <c r="B18">
        <v>34748540</v>
      </c>
      <c r="C18">
        <v>34748793</v>
      </c>
      <c r="D18">
        <v>31496748</v>
      </c>
      <c r="E18">
        <v>1</v>
      </c>
      <c r="F18">
        <v>1</v>
      </c>
      <c r="G18">
        <v>1</v>
      </c>
      <c r="H18">
        <v>3</v>
      </c>
      <c r="I18" t="s">
        <v>247</v>
      </c>
      <c r="J18" t="s">
        <v>248</v>
      </c>
      <c r="K18" t="s">
        <v>249</v>
      </c>
      <c r="L18">
        <v>1355</v>
      </c>
      <c r="N18">
        <v>1010</v>
      </c>
      <c r="O18" t="s">
        <v>250</v>
      </c>
      <c r="P18" t="s">
        <v>250</v>
      </c>
      <c r="Q18">
        <v>100</v>
      </c>
      <c r="W18">
        <v>0</v>
      </c>
      <c r="X18">
        <v>-1639385543</v>
      </c>
      <c r="Y18">
        <v>0.02</v>
      </c>
      <c r="AA18">
        <v>5112.5</v>
      </c>
      <c r="AB18">
        <v>0</v>
      </c>
      <c r="AC18">
        <v>0</v>
      </c>
      <c r="AD18">
        <v>0</v>
      </c>
      <c r="AE18">
        <v>409</v>
      </c>
      <c r="AF18">
        <v>0</v>
      </c>
      <c r="AG18">
        <v>0</v>
      </c>
      <c r="AH18">
        <v>0</v>
      </c>
      <c r="AI18">
        <v>12.5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0.02</v>
      </c>
      <c r="AU18" t="s">
        <v>3</v>
      </c>
      <c r="AV18">
        <v>0</v>
      </c>
      <c r="AW18">
        <v>2</v>
      </c>
      <c r="AX18">
        <v>34748800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0.02</v>
      </c>
      <c r="CY18">
        <f t="shared" si="5"/>
        <v>5112.5</v>
      </c>
      <c r="CZ18">
        <f t="shared" si="6"/>
        <v>409</v>
      </c>
      <c r="DA18">
        <f t="shared" si="7"/>
        <v>12.5</v>
      </c>
      <c r="DB18">
        <f t="shared" si="0"/>
        <v>8.18</v>
      </c>
      <c r="DC18">
        <f t="shared" si="1"/>
        <v>0</v>
      </c>
      <c r="DH18">
        <f>Source!I27*SmtRes!Y18</f>
        <v>0.02</v>
      </c>
      <c r="DI18">
        <f>AA18</f>
        <v>5112.5</v>
      </c>
      <c r="DJ18">
        <f>EtalonRes!Y20</f>
        <v>409</v>
      </c>
      <c r="DK18">
        <f>Source!BC27</f>
        <v>12.5</v>
      </c>
      <c r="GQ18">
        <v>-1</v>
      </c>
      <c r="GR18">
        <v>-1</v>
      </c>
    </row>
    <row r="19" spans="1:200" x14ac:dyDescent="0.2">
      <c r="A19">
        <f>ROW(Source!A27)</f>
        <v>27</v>
      </c>
      <c r="B19">
        <v>34748540</v>
      </c>
      <c r="C19">
        <v>34748793</v>
      </c>
      <c r="D19">
        <v>31512220</v>
      </c>
      <c r="E19">
        <v>1</v>
      </c>
      <c r="F19">
        <v>1</v>
      </c>
      <c r="G19">
        <v>1</v>
      </c>
      <c r="H19">
        <v>3</v>
      </c>
      <c r="I19" t="s">
        <v>251</v>
      </c>
      <c r="J19" t="s">
        <v>252</v>
      </c>
      <c r="K19" t="s">
        <v>253</v>
      </c>
      <c r="L19">
        <v>1301</v>
      </c>
      <c r="N19">
        <v>1003</v>
      </c>
      <c r="O19" t="s">
        <v>254</v>
      </c>
      <c r="P19" t="s">
        <v>254</v>
      </c>
      <c r="Q19">
        <v>1</v>
      </c>
      <c r="W19">
        <v>0</v>
      </c>
      <c r="X19">
        <v>1533067279</v>
      </c>
      <c r="Y19">
        <v>11</v>
      </c>
      <c r="AA19">
        <v>181.25</v>
      </c>
      <c r="AB19">
        <v>0</v>
      </c>
      <c r="AC19">
        <v>0</v>
      </c>
      <c r="AD19">
        <v>0</v>
      </c>
      <c r="AE19">
        <v>14.5</v>
      </c>
      <c r="AF19">
        <v>0</v>
      </c>
      <c r="AG19">
        <v>0</v>
      </c>
      <c r="AH19">
        <v>0</v>
      </c>
      <c r="AI19">
        <v>12.5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11</v>
      </c>
      <c r="AU19" t="s">
        <v>3</v>
      </c>
      <c r="AV19">
        <v>0</v>
      </c>
      <c r="AW19">
        <v>2</v>
      </c>
      <c r="AX19">
        <v>34748801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11</v>
      </c>
      <c r="CY19">
        <f t="shared" si="5"/>
        <v>181.25</v>
      </c>
      <c r="CZ19">
        <f t="shared" si="6"/>
        <v>14.5</v>
      </c>
      <c r="DA19">
        <f t="shared" si="7"/>
        <v>12.5</v>
      </c>
      <c r="DB19">
        <f t="shared" si="0"/>
        <v>159.5</v>
      </c>
      <c r="DC19">
        <f t="shared" si="1"/>
        <v>0</v>
      </c>
      <c r="DH19">
        <f>Source!I27*SmtRes!Y19</f>
        <v>11</v>
      </c>
      <c r="DI19">
        <f>AA19</f>
        <v>181.25</v>
      </c>
      <c r="DJ19">
        <f>EtalonRes!Y21</f>
        <v>14.5</v>
      </c>
      <c r="DK19">
        <f>Source!BC27</f>
        <v>12.5</v>
      </c>
      <c r="GQ19">
        <v>-1</v>
      </c>
      <c r="GR19">
        <v>-1</v>
      </c>
    </row>
    <row r="20" spans="1:200" x14ac:dyDescent="0.2">
      <c r="A20">
        <f>ROW(Source!A27)</f>
        <v>27</v>
      </c>
      <c r="B20">
        <v>34748540</v>
      </c>
      <c r="C20">
        <v>34748793</v>
      </c>
      <c r="D20">
        <v>31513891</v>
      </c>
      <c r="E20">
        <v>1</v>
      </c>
      <c r="F20">
        <v>1</v>
      </c>
      <c r="G20">
        <v>1</v>
      </c>
      <c r="H20">
        <v>3</v>
      </c>
      <c r="I20" t="s">
        <v>255</v>
      </c>
      <c r="J20" t="s">
        <v>256</v>
      </c>
      <c r="K20" t="s">
        <v>257</v>
      </c>
      <c r="L20">
        <v>1358</v>
      </c>
      <c r="N20">
        <v>1010</v>
      </c>
      <c r="O20" t="s">
        <v>258</v>
      </c>
      <c r="P20" t="s">
        <v>258</v>
      </c>
      <c r="Q20">
        <v>10</v>
      </c>
      <c r="W20">
        <v>0</v>
      </c>
      <c r="X20">
        <v>1831448994</v>
      </c>
      <c r="Y20">
        <v>0.3</v>
      </c>
      <c r="AA20">
        <v>547.88</v>
      </c>
      <c r="AB20">
        <v>0</v>
      </c>
      <c r="AC20">
        <v>0</v>
      </c>
      <c r="AD20">
        <v>0</v>
      </c>
      <c r="AE20">
        <v>43.83</v>
      </c>
      <c r="AF20">
        <v>0</v>
      </c>
      <c r="AG20">
        <v>0</v>
      </c>
      <c r="AH20">
        <v>0</v>
      </c>
      <c r="AI20">
        <v>12.5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0.3</v>
      </c>
      <c r="AU20" t="s">
        <v>3</v>
      </c>
      <c r="AV20">
        <v>0</v>
      </c>
      <c r="AW20">
        <v>2</v>
      </c>
      <c r="AX20">
        <v>34748802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0.3</v>
      </c>
      <c r="CY20">
        <f t="shared" si="5"/>
        <v>547.88</v>
      </c>
      <c r="CZ20">
        <f t="shared" si="6"/>
        <v>43.83</v>
      </c>
      <c r="DA20">
        <f t="shared" si="7"/>
        <v>12.5</v>
      </c>
      <c r="DB20">
        <f t="shared" si="0"/>
        <v>13.15</v>
      </c>
      <c r="DC20">
        <f t="shared" si="1"/>
        <v>0</v>
      </c>
      <c r="DH20">
        <f>Source!I27*SmtRes!Y20</f>
        <v>0.3</v>
      </c>
      <c r="DI20">
        <f>AA20</f>
        <v>547.88</v>
      </c>
      <c r="DJ20">
        <f>EtalonRes!Y22</f>
        <v>43.83</v>
      </c>
      <c r="DK20">
        <f>Source!BC27</f>
        <v>12.5</v>
      </c>
      <c r="GQ20">
        <v>-1</v>
      </c>
      <c r="GR20">
        <v>-1</v>
      </c>
    </row>
    <row r="21" spans="1:200" x14ac:dyDescent="0.2">
      <c r="A21">
        <f>ROW(Source!A28)</f>
        <v>28</v>
      </c>
      <c r="B21">
        <v>34748518</v>
      </c>
      <c r="C21">
        <v>34748687</v>
      </c>
      <c r="D21">
        <v>31714816</v>
      </c>
      <c r="E21">
        <v>1</v>
      </c>
      <c r="F21">
        <v>1</v>
      </c>
      <c r="G21">
        <v>1</v>
      </c>
      <c r="H21">
        <v>1</v>
      </c>
      <c r="I21" t="s">
        <v>259</v>
      </c>
      <c r="J21" t="s">
        <v>3</v>
      </c>
      <c r="K21" t="s">
        <v>260</v>
      </c>
      <c r="L21">
        <v>1191</v>
      </c>
      <c r="N21">
        <v>1013</v>
      </c>
      <c r="O21" t="s">
        <v>227</v>
      </c>
      <c r="P21" t="s">
        <v>227</v>
      </c>
      <c r="Q21">
        <v>1</v>
      </c>
      <c r="W21">
        <v>0</v>
      </c>
      <c r="X21">
        <v>1983201532</v>
      </c>
      <c r="Y21">
        <v>1.56</v>
      </c>
      <c r="AA21">
        <v>0</v>
      </c>
      <c r="AB21">
        <v>0</v>
      </c>
      <c r="AC21">
        <v>0</v>
      </c>
      <c r="AD21">
        <v>9.51</v>
      </c>
      <c r="AE21">
        <v>0</v>
      </c>
      <c r="AF21">
        <v>0</v>
      </c>
      <c r="AG21">
        <v>0</v>
      </c>
      <c r="AH21">
        <v>9.51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1.56</v>
      </c>
      <c r="AU21" t="s">
        <v>3</v>
      </c>
      <c r="AV21">
        <v>1</v>
      </c>
      <c r="AW21">
        <v>2</v>
      </c>
      <c r="AX21">
        <v>34748688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1.56</v>
      </c>
      <c r="CY21">
        <f>AD21</f>
        <v>9.51</v>
      </c>
      <c r="CZ21">
        <f>AH21</f>
        <v>9.51</v>
      </c>
      <c r="DA21">
        <f>AL21</f>
        <v>1</v>
      </c>
      <c r="DB21">
        <f t="shared" si="0"/>
        <v>14.84</v>
      </c>
      <c r="DC21">
        <f t="shared" si="1"/>
        <v>0</v>
      </c>
      <c r="GQ21">
        <v>-1</v>
      </c>
      <c r="GR21">
        <v>-1</v>
      </c>
    </row>
    <row r="22" spans="1:200" x14ac:dyDescent="0.2">
      <c r="A22">
        <f>ROW(Source!A28)</f>
        <v>28</v>
      </c>
      <c r="B22">
        <v>34748518</v>
      </c>
      <c r="C22">
        <v>34748687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261</v>
      </c>
      <c r="J22" t="s">
        <v>262</v>
      </c>
      <c r="K22" t="s">
        <v>263</v>
      </c>
      <c r="L22">
        <v>1368</v>
      </c>
      <c r="N22">
        <v>1011</v>
      </c>
      <c r="O22" t="s">
        <v>235</v>
      </c>
      <c r="P22" t="s">
        <v>235</v>
      </c>
      <c r="Q22">
        <v>1</v>
      </c>
      <c r="W22">
        <v>0</v>
      </c>
      <c r="X22">
        <v>-353815937</v>
      </c>
      <c r="Y22">
        <v>0.13</v>
      </c>
      <c r="AA22">
        <v>0</v>
      </c>
      <c r="AB22">
        <v>8.1</v>
      </c>
      <c r="AC22">
        <v>0</v>
      </c>
      <c r="AD22">
        <v>0</v>
      </c>
      <c r="AE22">
        <v>0</v>
      </c>
      <c r="AF22">
        <v>8.1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0.13</v>
      </c>
      <c r="AU22" t="s">
        <v>3</v>
      </c>
      <c r="AV22">
        <v>0</v>
      </c>
      <c r="AW22">
        <v>2</v>
      </c>
      <c r="AX22">
        <v>34748689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0.13</v>
      </c>
      <c r="CY22">
        <f>AB22</f>
        <v>8.1</v>
      </c>
      <c r="CZ22">
        <f>AF22</f>
        <v>8.1</v>
      </c>
      <c r="DA22">
        <f>AJ22</f>
        <v>1</v>
      </c>
      <c r="DB22">
        <f t="shared" si="0"/>
        <v>1.05</v>
      </c>
      <c r="DC22">
        <f t="shared" si="1"/>
        <v>0</v>
      </c>
      <c r="GQ22">
        <v>-1</v>
      </c>
      <c r="GR22">
        <v>-1</v>
      </c>
    </row>
    <row r="23" spans="1:200" x14ac:dyDescent="0.2">
      <c r="A23">
        <f>ROW(Source!A28)</f>
        <v>28</v>
      </c>
      <c r="B23">
        <v>34748518</v>
      </c>
      <c r="C23">
        <v>34748687</v>
      </c>
      <c r="D23">
        <v>31444646</v>
      </c>
      <c r="E23">
        <v>1</v>
      </c>
      <c r="F23">
        <v>1</v>
      </c>
      <c r="G23">
        <v>1</v>
      </c>
      <c r="H23">
        <v>3</v>
      </c>
      <c r="I23" t="s">
        <v>264</v>
      </c>
      <c r="J23" t="s">
        <v>265</v>
      </c>
      <c r="K23" t="s">
        <v>266</v>
      </c>
      <c r="L23">
        <v>1346</v>
      </c>
      <c r="N23">
        <v>1009</v>
      </c>
      <c r="O23" t="s">
        <v>239</v>
      </c>
      <c r="P23" t="s">
        <v>239</v>
      </c>
      <c r="Q23">
        <v>1</v>
      </c>
      <c r="W23">
        <v>0</v>
      </c>
      <c r="X23">
        <v>618806536</v>
      </c>
      <c r="Y23">
        <v>6.0000000000000001E-3</v>
      </c>
      <c r="AA23">
        <v>44.97</v>
      </c>
      <c r="AB23">
        <v>0</v>
      </c>
      <c r="AC23">
        <v>0</v>
      </c>
      <c r="AD23">
        <v>0</v>
      </c>
      <c r="AE23">
        <v>44.97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6.0000000000000001E-3</v>
      </c>
      <c r="AU23" t="s">
        <v>3</v>
      </c>
      <c r="AV23">
        <v>0</v>
      </c>
      <c r="AW23">
        <v>2</v>
      </c>
      <c r="AX23">
        <v>34748690</v>
      </c>
      <c r="AY23">
        <v>1</v>
      </c>
      <c r="AZ23">
        <v>0</v>
      </c>
      <c r="BA23">
        <v>25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6.0000000000000001E-3</v>
      </c>
      <c r="CY23">
        <f t="shared" ref="CY23:CY34" si="8">AA23</f>
        <v>44.97</v>
      </c>
      <c r="CZ23">
        <f t="shared" ref="CZ23:CZ34" si="9">AE23</f>
        <v>44.97</v>
      </c>
      <c r="DA23">
        <f t="shared" ref="DA23:DA34" si="10">AI23</f>
        <v>1</v>
      </c>
      <c r="DB23">
        <f t="shared" si="0"/>
        <v>0.27</v>
      </c>
      <c r="DC23">
        <f t="shared" si="1"/>
        <v>0</v>
      </c>
      <c r="DH23">
        <f>Source!I28*SmtRes!Y23</f>
        <v>6.0000000000000001E-3</v>
      </c>
      <c r="DI23">
        <f>AA23</f>
        <v>44.97</v>
      </c>
      <c r="DJ23">
        <f>EtalonRes!Y25</f>
        <v>44.97</v>
      </c>
      <c r="DK23">
        <f>Source!BC28</f>
        <v>1</v>
      </c>
      <c r="GQ23">
        <v>-1</v>
      </c>
      <c r="GR23">
        <v>-1</v>
      </c>
    </row>
    <row r="24" spans="1:200" x14ac:dyDescent="0.2">
      <c r="A24">
        <f>ROW(Source!A28)</f>
        <v>28</v>
      </c>
      <c r="B24">
        <v>34748518</v>
      </c>
      <c r="C24">
        <v>34748687</v>
      </c>
      <c r="D24">
        <v>31446378</v>
      </c>
      <c r="E24">
        <v>1</v>
      </c>
      <c r="F24">
        <v>1</v>
      </c>
      <c r="G24">
        <v>1</v>
      </c>
      <c r="H24">
        <v>3</v>
      </c>
      <c r="I24" t="s">
        <v>267</v>
      </c>
      <c r="J24" t="s">
        <v>268</v>
      </c>
      <c r="K24" t="s">
        <v>269</v>
      </c>
      <c r="L24">
        <v>1346</v>
      </c>
      <c r="N24">
        <v>1009</v>
      </c>
      <c r="O24" t="s">
        <v>239</v>
      </c>
      <c r="P24" t="s">
        <v>239</v>
      </c>
      <c r="Q24">
        <v>1</v>
      </c>
      <c r="W24">
        <v>0</v>
      </c>
      <c r="X24">
        <v>56922527</v>
      </c>
      <c r="Y24">
        <v>1E-3</v>
      </c>
      <c r="AA24">
        <v>11.5</v>
      </c>
      <c r="AB24">
        <v>0</v>
      </c>
      <c r="AC24">
        <v>0</v>
      </c>
      <c r="AD24">
        <v>0</v>
      </c>
      <c r="AE24">
        <v>11.5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1E-3</v>
      </c>
      <c r="AU24" t="s">
        <v>3</v>
      </c>
      <c r="AV24">
        <v>0</v>
      </c>
      <c r="AW24">
        <v>2</v>
      </c>
      <c r="AX24">
        <v>34748691</v>
      </c>
      <c r="AY24">
        <v>1</v>
      </c>
      <c r="AZ24">
        <v>0</v>
      </c>
      <c r="BA24">
        <v>26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1E-3</v>
      </c>
      <c r="CY24">
        <f t="shared" si="8"/>
        <v>11.5</v>
      </c>
      <c r="CZ24">
        <f t="shared" si="9"/>
        <v>11.5</v>
      </c>
      <c r="DA24">
        <f t="shared" si="10"/>
        <v>1</v>
      </c>
      <c r="DB24">
        <f t="shared" si="0"/>
        <v>0.01</v>
      </c>
      <c r="DC24">
        <f t="shared" si="1"/>
        <v>0</v>
      </c>
      <c r="DH24">
        <f>Source!I28*SmtRes!Y24</f>
        <v>1E-3</v>
      </c>
      <c r="DI24">
        <f>AA24</f>
        <v>11.5</v>
      </c>
      <c r="DJ24">
        <f>EtalonRes!Y26</f>
        <v>11.5</v>
      </c>
      <c r="DK24">
        <f>Source!BC28</f>
        <v>1</v>
      </c>
      <c r="GQ24">
        <v>-1</v>
      </c>
      <c r="GR24">
        <v>-1</v>
      </c>
    </row>
    <row r="25" spans="1:200" x14ac:dyDescent="0.2">
      <c r="A25">
        <f>ROW(Source!A28)</f>
        <v>28</v>
      </c>
      <c r="B25">
        <v>34748518</v>
      </c>
      <c r="C25">
        <v>34748687</v>
      </c>
      <c r="D25">
        <v>31446697</v>
      </c>
      <c r="E25">
        <v>1</v>
      </c>
      <c r="F25">
        <v>1</v>
      </c>
      <c r="G25">
        <v>1</v>
      </c>
      <c r="H25">
        <v>3</v>
      </c>
      <c r="I25" t="s">
        <v>270</v>
      </c>
      <c r="J25" t="s">
        <v>271</v>
      </c>
      <c r="K25" t="s">
        <v>272</v>
      </c>
      <c r="L25">
        <v>1346</v>
      </c>
      <c r="N25">
        <v>1009</v>
      </c>
      <c r="O25" t="s">
        <v>239</v>
      </c>
      <c r="P25" t="s">
        <v>239</v>
      </c>
      <c r="Q25">
        <v>1</v>
      </c>
      <c r="W25">
        <v>0</v>
      </c>
      <c r="X25">
        <v>-1088866022</v>
      </c>
      <c r="Y25">
        <v>1.2E-2</v>
      </c>
      <c r="AA25">
        <v>30.4</v>
      </c>
      <c r="AB25">
        <v>0</v>
      </c>
      <c r="AC25">
        <v>0</v>
      </c>
      <c r="AD25">
        <v>0</v>
      </c>
      <c r="AE25">
        <v>30.4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1.2E-2</v>
      </c>
      <c r="AU25" t="s">
        <v>3</v>
      </c>
      <c r="AV25">
        <v>0</v>
      </c>
      <c r="AW25">
        <v>2</v>
      </c>
      <c r="AX25">
        <v>34748692</v>
      </c>
      <c r="AY25">
        <v>1</v>
      </c>
      <c r="AZ25">
        <v>0</v>
      </c>
      <c r="BA25">
        <v>27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1.2E-2</v>
      </c>
      <c r="CY25">
        <f t="shared" si="8"/>
        <v>30.4</v>
      </c>
      <c r="CZ25">
        <f t="shared" si="9"/>
        <v>30.4</v>
      </c>
      <c r="DA25">
        <f t="shared" si="10"/>
        <v>1</v>
      </c>
      <c r="DB25">
        <f t="shared" si="0"/>
        <v>0.36</v>
      </c>
      <c r="DC25">
        <f t="shared" si="1"/>
        <v>0</v>
      </c>
      <c r="DH25">
        <f>Source!I28*SmtRes!Y25</f>
        <v>1.2E-2</v>
      </c>
      <c r="DI25">
        <f>AA25</f>
        <v>30.4</v>
      </c>
      <c r="DJ25">
        <f>EtalonRes!Y27</f>
        <v>30.4</v>
      </c>
      <c r="DK25">
        <f>Source!BC28</f>
        <v>1</v>
      </c>
      <c r="GQ25">
        <v>-1</v>
      </c>
      <c r="GR25">
        <v>-1</v>
      </c>
    </row>
    <row r="26" spans="1:200" x14ac:dyDescent="0.2">
      <c r="A26">
        <f>ROW(Source!A28)</f>
        <v>28</v>
      </c>
      <c r="B26">
        <v>34748518</v>
      </c>
      <c r="C26">
        <v>34748687</v>
      </c>
      <c r="D26">
        <v>31447861</v>
      </c>
      <c r="E26">
        <v>1</v>
      </c>
      <c r="F26">
        <v>1</v>
      </c>
      <c r="G26">
        <v>1</v>
      </c>
      <c r="H26">
        <v>3</v>
      </c>
      <c r="I26" t="s">
        <v>273</v>
      </c>
      <c r="J26" t="s">
        <v>274</v>
      </c>
      <c r="K26" t="s">
        <v>275</v>
      </c>
      <c r="L26">
        <v>1346</v>
      </c>
      <c r="N26">
        <v>1009</v>
      </c>
      <c r="O26" t="s">
        <v>239</v>
      </c>
      <c r="P26" t="s">
        <v>239</v>
      </c>
      <c r="Q26">
        <v>1</v>
      </c>
      <c r="W26">
        <v>0</v>
      </c>
      <c r="X26">
        <v>586013393</v>
      </c>
      <c r="Y26">
        <v>7.0000000000000007E-2</v>
      </c>
      <c r="AA26">
        <v>10.57</v>
      </c>
      <c r="AB26">
        <v>0</v>
      </c>
      <c r="AC26">
        <v>0</v>
      </c>
      <c r="AD26">
        <v>0</v>
      </c>
      <c r="AE26">
        <v>10.57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7.0000000000000007E-2</v>
      </c>
      <c r="AU26" t="s">
        <v>3</v>
      </c>
      <c r="AV26">
        <v>0</v>
      </c>
      <c r="AW26">
        <v>2</v>
      </c>
      <c r="AX26">
        <v>34748693</v>
      </c>
      <c r="AY26">
        <v>1</v>
      </c>
      <c r="AZ26">
        <v>0</v>
      </c>
      <c r="BA26">
        <v>28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7.0000000000000007E-2</v>
      </c>
      <c r="CY26">
        <f t="shared" si="8"/>
        <v>10.57</v>
      </c>
      <c r="CZ26">
        <f t="shared" si="9"/>
        <v>10.57</v>
      </c>
      <c r="DA26">
        <f t="shared" si="10"/>
        <v>1</v>
      </c>
      <c r="DB26">
        <f t="shared" si="0"/>
        <v>0.74</v>
      </c>
      <c r="DC26">
        <f t="shared" si="1"/>
        <v>0</v>
      </c>
      <c r="DH26">
        <f>Source!I28*SmtRes!Y26</f>
        <v>7.0000000000000007E-2</v>
      </c>
      <c r="DI26">
        <f>AA26</f>
        <v>10.57</v>
      </c>
      <c r="DJ26">
        <f>EtalonRes!Y28</f>
        <v>10.57</v>
      </c>
      <c r="DK26">
        <f>Source!BC28</f>
        <v>1</v>
      </c>
      <c r="GQ26">
        <v>-1</v>
      </c>
      <c r="GR26">
        <v>-1</v>
      </c>
    </row>
    <row r="27" spans="1:200" x14ac:dyDescent="0.2">
      <c r="A27">
        <f>ROW(Source!A28)</f>
        <v>28</v>
      </c>
      <c r="B27">
        <v>34748518</v>
      </c>
      <c r="C27">
        <v>34748687</v>
      </c>
      <c r="D27">
        <v>31449051</v>
      </c>
      <c r="E27">
        <v>1</v>
      </c>
      <c r="F27">
        <v>1</v>
      </c>
      <c r="G27">
        <v>1</v>
      </c>
      <c r="H27">
        <v>3</v>
      </c>
      <c r="I27" t="s">
        <v>276</v>
      </c>
      <c r="J27" t="s">
        <v>277</v>
      </c>
      <c r="K27" t="s">
        <v>278</v>
      </c>
      <c r="L27">
        <v>1346</v>
      </c>
      <c r="N27">
        <v>1009</v>
      </c>
      <c r="O27" t="s">
        <v>239</v>
      </c>
      <c r="P27" t="s">
        <v>239</v>
      </c>
      <c r="Q27">
        <v>1</v>
      </c>
      <c r="W27">
        <v>0</v>
      </c>
      <c r="X27">
        <v>103900845</v>
      </c>
      <c r="Y27">
        <v>4.9000000000000002E-2</v>
      </c>
      <c r="AA27">
        <v>9.0399999999999991</v>
      </c>
      <c r="AB27">
        <v>0</v>
      </c>
      <c r="AC27">
        <v>0</v>
      </c>
      <c r="AD27">
        <v>0</v>
      </c>
      <c r="AE27">
        <v>9.0399999999999991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4.9000000000000002E-2</v>
      </c>
      <c r="AU27" t="s">
        <v>3</v>
      </c>
      <c r="AV27">
        <v>0</v>
      </c>
      <c r="AW27">
        <v>2</v>
      </c>
      <c r="AX27">
        <v>34748694</v>
      </c>
      <c r="AY27">
        <v>1</v>
      </c>
      <c r="AZ27">
        <v>0</v>
      </c>
      <c r="BA27">
        <v>29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Y27*Source!I28</f>
        <v>4.9000000000000002E-2</v>
      </c>
      <c r="CY27">
        <f t="shared" si="8"/>
        <v>9.0399999999999991</v>
      </c>
      <c r="CZ27">
        <f t="shared" si="9"/>
        <v>9.0399999999999991</v>
      </c>
      <c r="DA27">
        <f t="shared" si="10"/>
        <v>1</v>
      </c>
      <c r="DB27">
        <f t="shared" si="0"/>
        <v>0.44</v>
      </c>
      <c r="DC27">
        <f t="shared" si="1"/>
        <v>0</v>
      </c>
      <c r="DH27">
        <f>Source!I28*SmtRes!Y27</f>
        <v>4.9000000000000002E-2</v>
      </c>
      <c r="DI27">
        <f>AA27</f>
        <v>9.0399999999999991</v>
      </c>
      <c r="DJ27">
        <f>EtalonRes!Y29</f>
        <v>9.0399999999999991</v>
      </c>
      <c r="DK27">
        <f>Source!BC28</f>
        <v>1</v>
      </c>
      <c r="GQ27">
        <v>-1</v>
      </c>
      <c r="GR27">
        <v>-1</v>
      </c>
    </row>
    <row r="28" spans="1:200" x14ac:dyDescent="0.2">
      <c r="A28">
        <f>ROW(Source!A28)</f>
        <v>28</v>
      </c>
      <c r="B28">
        <v>34748518</v>
      </c>
      <c r="C28">
        <v>34748687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279</v>
      </c>
      <c r="J28" t="s">
        <v>280</v>
      </c>
      <c r="K28" t="s">
        <v>281</v>
      </c>
      <c r="L28">
        <v>1355</v>
      </c>
      <c r="N28">
        <v>1010</v>
      </c>
      <c r="O28" t="s">
        <v>250</v>
      </c>
      <c r="P28" t="s">
        <v>250</v>
      </c>
      <c r="Q28">
        <v>100</v>
      </c>
      <c r="W28">
        <v>0</v>
      </c>
      <c r="X28">
        <v>1794244060</v>
      </c>
      <c r="Y28">
        <v>1.4E-2</v>
      </c>
      <c r="AA28">
        <v>86</v>
      </c>
      <c r="AB28">
        <v>0</v>
      </c>
      <c r="AC28">
        <v>0</v>
      </c>
      <c r="AD28">
        <v>0</v>
      </c>
      <c r="AE28">
        <v>86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1.4E-2</v>
      </c>
      <c r="AU28" t="s">
        <v>3</v>
      </c>
      <c r="AV28">
        <v>0</v>
      </c>
      <c r="AW28">
        <v>2</v>
      </c>
      <c r="AX28">
        <v>34748695</v>
      </c>
      <c r="AY28">
        <v>1</v>
      </c>
      <c r="AZ28">
        <v>0</v>
      </c>
      <c r="BA28">
        <v>30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Y28*Source!I28</f>
        <v>1.4E-2</v>
      </c>
      <c r="CY28">
        <f t="shared" si="8"/>
        <v>86</v>
      </c>
      <c r="CZ28">
        <f t="shared" si="9"/>
        <v>86</v>
      </c>
      <c r="DA28">
        <f t="shared" si="10"/>
        <v>1</v>
      </c>
      <c r="DB28">
        <f t="shared" si="0"/>
        <v>1.2</v>
      </c>
      <c r="DC28">
        <f t="shared" si="1"/>
        <v>0</v>
      </c>
      <c r="DH28">
        <f>Source!I28*SmtRes!Y28</f>
        <v>1.4E-2</v>
      </c>
      <c r="DI28">
        <f>AA28</f>
        <v>86</v>
      </c>
      <c r="DJ28">
        <f>EtalonRes!Y30</f>
        <v>86</v>
      </c>
      <c r="DK28">
        <f>Source!BC28</f>
        <v>1</v>
      </c>
      <c r="GQ28">
        <v>-1</v>
      </c>
      <c r="GR28">
        <v>-1</v>
      </c>
    </row>
    <row r="29" spans="1:200" x14ac:dyDescent="0.2">
      <c r="A29">
        <f>ROW(Source!A28)</f>
        <v>28</v>
      </c>
      <c r="B29">
        <v>34748518</v>
      </c>
      <c r="C29">
        <v>34748687</v>
      </c>
      <c r="D29">
        <v>31450103</v>
      </c>
      <c r="E29">
        <v>1</v>
      </c>
      <c r="F29">
        <v>1</v>
      </c>
      <c r="G29">
        <v>1</v>
      </c>
      <c r="H29">
        <v>3</v>
      </c>
      <c r="I29" t="s">
        <v>282</v>
      </c>
      <c r="J29" t="s">
        <v>283</v>
      </c>
      <c r="K29" t="s">
        <v>284</v>
      </c>
      <c r="L29">
        <v>1346</v>
      </c>
      <c r="N29">
        <v>1009</v>
      </c>
      <c r="O29" t="s">
        <v>239</v>
      </c>
      <c r="P29" t="s">
        <v>239</v>
      </c>
      <c r="Q29">
        <v>1</v>
      </c>
      <c r="W29">
        <v>0</v>
      </c>
      <c r="X29">
        <v>-856710481</v>
      </c>
      <c r="Y29">
        <v>1E-3</v>
      </c>
      <c r="AA29">
        <v>133.05000000000001</v>
      </c>
      <c r="AB29">
        <v>0</v>
      </c>
      <c r="AC29">
        <v>0</v>
      </c>
      <c r="AD29">
        <v>0</v>
      </c>
      <c r="AE29">
        <v>133.05000000000001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1E-3</v>
      </c>
      <c r="AU29" t="s">
        <v>3</v>
      </c>
      <c r="AV29">
        <v>0</v>
      </c>
      <c r="AW29">
        <v>2</v>
      </c>
      <c r="AX29">
        <v>34748696</v>
      </c>
      <c r="AY29">
        <v>1</v>
      </c>
      <c r="AZ29">
        <v>0</v>
      </c>
      <c r="BA29">
        <v>31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Y29*Source!I28</f>
        <v>1E-3</v>
      </c>
      <c r="CY29">
        <f t="shared" si="8"/>
        <v>133.05000000000001</v>
      </c>
      <c r="CZ29">
        <f t="shared" si="9"/>
        <v>133.05000000000001</v>
      </c>
      <c r="DA29">
        <f t="shared" si="10"/>
        <v>1</v>
      </c>
      <c r="DB29">
        <f t="shared" si="0"/>
        <v>0.13</v>
      </c>
      <c r="DC29">
        <f t="shared" si="1"/>
        <v>0</v>
      </c>
      <c r="DH29">
        <f>Source!I28*SmtRes!Y29</f>
        <v>1E-3</v>
      </c>
      <c r="DI29">
        <f>AA29</f>
        <v>133.05000000000001</v>
      </c>
      <c r="DJ29">
        <f>EtalonRes!Y31</f>
        <v>133.05000000000001</v>
      </c>
      <c r="DK29">
        <f>Source!BC28</f>
        <v>1</v>
      </c>
      <c r="GQ29">
        <v>-1</v>
      </c>
      <c r="GR29">
        <v>-1</v>
      </c>
    </row>
    <row r="30" spans="1:200" x14ac:dyDescent="0.2">
      <c r="A30">
        <f>ROW(Source!A28)</f>
        <v>28</v>
      </c>
      <c r="B30">
        <v>34748518</v>
      </c>
      <c r="C30">
        <v>34748687</v>
      </c>
      <c r="D30">
        <v>31467744</v>
      </c>
      <c r="E30">
        <v>1</v>
      </c>
      <c r="F30">
        <v>1</v>
      </c>
      <c r="G30">
        <v>1</v>
      </c>
      <c r="H30">
        <v>3</v>
      </c>
      <c r="I30" t="s">
        <v>285</v>
      </c>
      <c r="J30" t="s">
        <v>286</v>
      </c>
      <c r="K30" t="s">
        <v>287</v>
      </c>
      <c r="L30">
        <v>1348</v>
      </c>
      <c r="N30">
        <v>1009</v>
      </c>
      <c r="O30" t="s">
        <v>288</v>
      </c>
      <c r="P30" t="s">
        <v>288</v>
      </c>
      <c r="Q30">
        <v>1000</v>
      </c>
      <c r="W30">
        <v>0</v>
      </c>
      <c r="X30">
        <v>426000481</v>
      </c>
      <c r="Y30">
        <v>1E-3</v>
      </c>
      <c r="AA30">
        <v>11500</v>
      </c>
      <c r="AB30">
        <v>0</v>
      </c>
      <c r="AC30">
        <v>0</v>
      </c>
      <c r="AD30">
        <v>0</v>
      </c>
      <c r="AE30">
        <v>11500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1E-3</v>
      </c>
      <c r="AU30" t="s">
        <v>3</v>
      </c>
      <c r="AV30">
        <v>0</v>
      </c>
      <c r="AW30">
        <v>2</v>
      </c>
      <c r="AX30">
        <v>34748697</v>
      </c>
      <c r="AY30">
        <v>1</v>
      </c>
      <c r="AZ30">
        <v>0</v>
      </c>
      <c r="BA30">
        <v>32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Y30*Source!I28</f>
        <v>1E-3</v>
      </c>
      <c r="CY30">
        <f t="shared" si="8"/>
        <v>11500</v>
      </c>
      <c r="CZ30">
        <f t="shared" si="9"/>
        <v>11500</v>
      </c>
      <c r="DA30">
        <f t="shared" si="10"/>
        <v>1</v>
      </c>
      <c r="DB30">
        <f t="shared" si="0"/>
        <v>11.5</v>
      </c>
      <c r="DC30">
        <f t="shared" si="1"/>
        <v>0</v>
      </c>
      <c r="DH30">
        <f>Source!I28*SmtRes!Y30</f>
        <v>1E-3</v>
      </c>
      <c r="DI30">
        <f>AA30</f>
        <v>11500</v>
      </c>
      <c r="DJ30">
        <f>EtalonRes!Y32</f>
        <v>11500</v>
      </c>
      <c r="DK30">
        <f>Source!BC28</f>
        <v>1</v>
      </c>
      <c r="GQ30">
        <v>-1</v>
      </c>
      <c r="GR30">
        <v>-1</v>
      </c>
    </row>
    <row r="31" spans="1:200" x14ac:dyDescent="0.2">
      <c r="A31">
        <f>ROW(Source!A28)</f>
        <v>28</v>
      </c>
      <c r="B31">
        <v>34748518</v>
      </c>
      <c r="C31">
        <v>34748687</v>
      </c>
      <c r="D31">
        <v>31482923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1346</v>
      </c>
      <c r="N31">
        <v>1009</v>
      </c>
      <c r="O31" t="s">
        <v>239</v>
      </c>
      <c r="P31" t="s">
        <v>239</v>
      </c>
      <c r="Q31">
        <v>1</v>
      </c>
      <c r="W31">
        <v>0</v>
      </c>
      <c r="X31">
        <v>210558753</v>
      </c>
      <c r="Y31">
        <v>3.5999999999999997E-2</v>
      </c>
      <c r="AA31">
        <v>28.6</v>
      </c>
      <c r="AB31">
        <v>0</v>
      </c>
      <c r="AC31">
        <v>0</v>
      </c>
      <c r="AD31">
        <v>0</v>
      </c>
      <c r="AE31">
        <v>28.6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3.5999999999999997E-2</v>
      </c>
      <c r="AU31" t="s">
        <v>3</v>
      </c>
      <c r="AV31">
        <v>0</v>
      </c>
      <c r="AW31">
        <v>2</v>
      </c>
      <c r="AX31">
        <v>34748698</v>
      </c>
      <c r="AY31">
        <v>1</v>
      </c>
      <c r="AZ31">
        <v>0</v>
      </c>
      <c r="BA31">
        <v>33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Y31*Source!I28</f>
        <v>3.5999999999999997E-2</v>
      </c>
      <c r="CY31">
        <f t="shared" si="8"/>
        <v>28.6</v>
      </c>
      <c r="CZ31">
        <f t="shared" si="9"/>
        <v>28.6</v>
      </c>
      <c r="DA31">
        <f t="shared" si="10"/>
        <v>1</v>
      </c>
      <c r="DB31">
        <f t="shared" si="0"/>
        <v>1.03</v>
      </c>
      <c r="DC31">
        <f t="shared" si="1"/>
        <v>0</v>
      </c>
      <c r="DH31">
        <f>Source!I28*SmtRes!Y31</f>
        <v>3.5999999999999997E-2</v>
      </c>
      <c r="DI31">
        <f>AA31</f>
        <v>28.6</v>
      </c>
      <c r="DJ31">
        <f>EtalonRes!Y33</f>
        <v>28.6</v>
      </c>
      <c r="DK31">
        <f>Source!BC28</f>
        <v>1</v>
      </c>
      <c r="GQ31">
        <v>-1</v>
      </c>
      <c r="GR31">
        <v>-1</v>
      </c>
    </row>
    <row r="32" spans="1:200" x14ac:dyDescent="0.2">
      <c r="A32">
        <f>ROW(Source!A28)</f>
        <v>28</v>
      </c>
      <c r="B32">
        <v>34748518</v>
      </c>
      <c r="C32">
        <v>34748687</v>
      </c>
      <c r="D32">
        <v>31483076</v>
      </c>
      <c r="E32">
        <v>1</v>
      </c>
      <c r="F32">
        <v>1</v>
      </c>
      <c r="G32">
        <v>1</v>
      </c>
      <c r="H32">
        <v>3</v>
      </c>
      <c r="I32" t="s">
        <v>292</v>
      </c>
      <c r="J32" t="s">
        <v>293</v>
      </c>
      <c r="K32" t="s">
        <v>294</v>
      </c>
      <c r="L32">
        <v>1346</v>
      </c>
      <c r="N32">
        <v>1009</v>
      </c>
      <c r="O32" t="s">
        <v>239</v>
      </c>
      <c r="P32" t="s">
        <v>239</v>
      </c>
      <c r="Q32">
        <v>1</v>
      </c>
      <c r="W32">
        <v>0</v>
      </c>
      <c r="X32">
        <v>-1274984028</v>
      </c>
      <c r="Y32">
        <v>6.0000000000000001E-3</v>
      </c>
      <c r="AA32">
        <v>35.630000000000003</v>
      </c>
      <c r="AB32">
        <v>0</v>
      </c>
      <c r="AC32">
        <v>0</v>
      </c>
      <c r="AD32">
        <v>0</v>
      </c>
      <c r="AE32">
        <v>35.630000000000003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6.0000000000000001E-3</v>
      </c>
      <c r="AU32" t="s">
        <v>3</v>
      </c>
      <c r="AV32">
        <v>0</v>
      </c>
      <c r="AW32">
        <v>2</v>
      </c>
      <c r="AX32">
        <v>34748699</v>
      </c>
      <c r="AY32">
        <v>1</v>
      </c>
      <c r="AZ32">
        <v>0</v>
      </c>
      <c r="BA32">
        <v>34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Y32*Source!I28</f>
        <v>6.0000000000000001E-3</v>
      </c>
      <c r="CY32">
        <f t="shared" si="8"/>
        <v>35.630000000000003</v>
      </c>
      <c r="CZ32">
        <f t="shared" si="9"/>
        <v>35.630000000000003</v>
      </c>
      <c r="DA32">
        <f t="shared" si="10"/>
        <v>1</v>
      </c>
      <c r="DB32">
        <f t="shared" si="0"/>
        <v>0.21</v>
      </c>
      <c r="DC32">
        <f t="shared" si="1"/>
        <v>0</v>
      </c>
      <c r="DH32">
        <f>Source!I28*SmtRes!Y32</f>
        <v>6.0000000000000001E-3</v>
      </c>
      <c r="DI32">
        <f>AA32</f>
        <v>35.630000000000003</v>
      </c>
      <c r="DJ32">
        <f>EtalonRes!Y34</f>
        <v>35.630000000000003</v>
      </c>
      <c r="DK32">
        <f>Source!BC28</f>
        <v>1</v>
      </c>
      <c r="GQ32">
        <v>-1</v>
      </c>
      <c r="GR32">
        <v>-1</v>
      </c>
    </row>
    <row r="33" spans="1:200" x14ac:dyDescent="0.2">
      <c r="A33">
        <f>ROW(Source!A28)</f>
        <v>28</v>
      </c>
      <c r="B33">
        <v>34748518</v>
      </c>
      <c r="C33">
        <v>34748687</v>
      </c>
      <c r="D33">
        <v>31496552</v>
      </c>
      <c r="E33">
        <v>1</v>
      </c>
      <c r="F33">
        <v>1</v>
      </c>
      <c r="G33">
        <v>1</v>
      </c>
      <c r="H33">
        <v>3</v>
      </c>
      <c r="I33" t="s">
        <v>295</v>
      </c>
      <c r="J33" t="s">
        <v>296</v>
      </c>
      <c r="K33" t="s">
        <v>297</v>
      </c>
      <c r="L33">
        <v>1358</v>
      </c>
      <c r="N33">
        <v>1010</v>
      </c>
      <c r="O33" t="s">
        <v>258</v>
      </c>
      <c r="P33" t="s">
        <v>258</v>
      </c>
      <c r="Q33">
        <v>10</v>
      </c>
      <c r="W33">
        <v>0</v>
      </c>
      <c r="X33">
        <v>1386890308</v>
      </c>
      <c r="Y33">
        <v>0.1</v>
      </c>
      <c r="AA33">
        <v>39</v>
      </c>
      <c r="AB33">
        <v>0</v>
      </c>
      <c r="AC33">
        <v>0</v>
      </c>
      <c r="AD33">
        <v>0</v>
      </c>
      <c r="AE33">
        <v>39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0.1</v>
      </c>
      <c r="AU33" t="s">
        <v>3</v>
      </c>
      <c r="AV33">
        <v>0</v>
      </c>
      <c r="AW33">
        <v>2</v>
      </c>
      <c r="AX33">
        <v>34748700</v>
      </c>
      <c r="AY33">
        <v>1</v>
      </c>
      <c r="AZ33">
        <v>0</v>
      </c>
      <c r="BA33">
        <v>35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Y33*Source!I28</f>
        <v>0.1</v>
      </c>
      <c r="CY33">
        <f t="shared" si="8"/>
        <v>39</v>
      </c>
      <c r="CZ33">
        <f t="shared" si="9"/>
        <v>39</v>
      </c>
      <c r="DA33">
        <f t="shared" si="10"/>
        <v>1</v>
      </c>
      <c r="DB33">
        <f t="shared" ref="DB33:DB64" si="11">ROUND(ROUND(AT33*CZ33,2),2)</f>
        <v>3.9</v>
      </c>
      <c r="DC33">
        <f t="shared" ref="DC33:DC64" si="12">ROUND(ROUND(AT33*AG33,2),2)</f>
        <v>0</v>
      </c>
      <c r="DH33">
        <f>Source!I28*SmtRes!Y33</f>
        <v>0.1</v>
      </c>
      <c r="DI33">
        <f>AA33</f>
        <v>39</v>
      </c>
      <c r="DJ33">
        <f>EtalonRes!Y35</f>
        <v>39</v>
      </c>
      <c r="DK33">
        <f>Source!BC28</f>
        <v>1</v>
      </c>
      <c r="GQ33">
        <v>-1</v>
      </c>
      <c r="GR33">
        <v>-1</v>
      </c>
    </row>
    <row r="34" spans="1:200" x14ac:dyDescent="0.2">
      <c r="A34">
        <f>ROW(Source!A28)</f>
        <v>28</v>
      </c>
      <c r="B34">
        <v>34748518</v>
      </c>
      <c r="C34">
        <v>34748687</v>
      </c>
      <c r="D34">
        <v>31443668</v>
      </c>
      <c r="E34">
        <v>17</v>
      </c>
      <c r="F34">
        <v>1</v>
      </c>
      <c r="G34">
        <v>1</v>
      </c>
      <c r="H34">
        <v>3</v>
      </c>
      <c r="I34" t="s">
        <v>298</v>
      </c>
      <c r="J34" t="s">
        <v>3</v>
      </c>
      <c r="K34" t="s">
        <v>299</v>
      </c>
      <c r="L34">
        <v>1374</v>
      </c>
      <c r="N34">
        <v>1013</v>
      </c>
      <c r="O34" t="s">
        <v>300</v>
      </c>
      <c r="P34" t="s">
        <v>300</v>
      </c>
      <c r="Q34">
        <v>1</v>
      </c>
      <c r="W34">
        <v>0</v>
      </c>
      <c r="X34">
        <v>-1731369543</v>
      </c>
      <c r="Y34">
        <v>0.3</v>
      </c>
      <c r="AA34">
        <v>1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</v>
      </c>
      <c r="AU34" t="s">
        <v>3</v>
      </c>
      <c r="AV34">
        <v>0</v>
      </c>
      <c r="AW34">
        <v>2</v>
      </c>
      <c r="AX34">
        <v>34748701</v>
      </c>
      <c r="AY34">
        <v>1</v>
      </c>
      <c r="AZ34">
        <v>0</v>
      </c>
      <c r="BA34">
        <v>36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Y34*Source!I28</f>
        <v>0.3</v>
      </c>
      <c r="CY34">
        <f t="shared" si="8"/>
        <v>1</v>
      </c>
      <c r="CZ34">
        <f t="shared" si="9"/>
        <v>1</v>
      </c>
      <c r="DA34">
        <f t="shared" si="10"/>
        <v>1</v>
      </c>
      <c r="DB34">
        <f t="shared" si="11"/>
        <v>0.3</v>
      </c>
      <c r="DC34">
        <f t="shared" si="12"/>
        <v>0</v>
      </c>
      <c r="DH34">
        <f>Source!I28*SmtRes!Y34</f>
        <v>0.3</v>
      </c>
      <c r="DI34">
        <f>AA34</f>
        <v>1</v>
      </c>
      <c r="DJ34">
        <f>EtalonRes!Y36</f>
        <v>1</v>
      </c>
      <c r="DK34">
        <f>Source!BC28</f>
        <v>1</v>
      </c>
      <c r="GQ34">
        <v>-1</v>
      </c>
      <c r="GR34">
        <v>-1</v>
      </c>
    </row>
    <row r="35" spans="1:200" x14ac:dyDescent="0.2">
      <c r="A35">
        <f>ROW(Source!A29)</f>
        <v>29</v>
      </c>
      <c r="B35">
        <v>34748540</v>
      </c>
      <c r="C35">
        <v>34748687</v>
      </c>
      <c r="D35">
        <v>31714816</v>
      </c>
      <c r="E35">
        <v>1</v>
      </c>
      <c r="F35">
        <v>1</v>
      </c>
      <c r="G35">
        <v>1</v>
      </c>
      <c r="H35">
        <v>1</v>
      </c>
      <c r="I35" t="s">
        <v>259</v>
      </c>
      <c r="J35" t="s">
        <v>3</v>
      </c>
      <c r="K35" t="s">
        <v>260</v>
      </c>
      <c r="L35">
        <v>1191</v>
      </c>
      <c r="N35">
        <v>1013</v>
      </c>
      <c r="O35" t="s">
        <v>227</v>
      </c>
      <c r="P35" t="s">
        <v>227</v>
      </c>
      <c r="Q35">
        <v>1</v>
      </c>
      <c r="W35">
        <v>0</v>
      </c>
      <c r="X35">
        <v>1983201532</v>
      </c>
      <c r="Y35">
        <v>1.56</v>
      </c>
      <c r="AA35">
        <v>0</v>
      </c>
      <c r="AB35">
        <v>0</v>
      </c>
      <c r="AC35">
        <v>0</v>
      </c>
      <c r="AD35">
        <v>118.88</v>
      </c>
      <c r="AE35">
        <v>0</v>
      </c>
      <c r="AF35">
        <v>0</v>
      </c>
      <c r="AG35">
        <v>0</v>
      </c>
      <c r="AH35">
        <v>9.51</v>
      </c>
      <c r="AI35">
        <v>1</v>
      </c>
      <c r="AJ35">
        <v>1</v>
      </c>
      <c r="AK35">
        <v>1</v>
      </c>
      <c r="AL35">
        <v>12.5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1.56</v>
      </c>
      <c r="AU35" t="s">
        <v>3</v>
      </c>
      <c r="AV35">
        <v>1</v>
      </c>
      <c r="AW35">
        <v>2</v>
      </c>
      <c r="AX35">
        <v>34748688</v>
      </c>
      <c r="AY35">
        <v>1</v>
      </c>
      <c r="AZ35">
        <v>0</v>
      </c>
      <c r="BA35">
        <v>37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Y35*Source!I29</f>
        <v>1.56</v>
      </c>
      <c r="CY35">
        <f>AD35</f>
        <v>118.88</v>
      </c>
      <c r="CZ35">
        <f>AH35</f>
        <v>9.51</v>
      </c>
      <c r="DA35">
        <f>AL35</f>
        <v>12.5</v>
      </c>
      <c r="DB35">
        <f t="shared" si="11"/>
        <v>14.84</v>
      </c>
      <c r="DC35">
        <f t="shared" si="12"/>
        <v>0</v>
      </c>
      <c r="GQ35">
        <v>-1</v>
      </c>
      <c r="GR35">
        <v>-1</v>
      </c>
    </row>
    <row r="36" spans="1:200" x14ac:dyDescent="0.2">
      <c r="A36">
        <f>ROW(Source!A29)</f>
        <v>29</v>
      </c>
      <c r="B36">
        <v>34748540</v>
      </c>
      <c r="C36">
        <v>34748687</v>
      </c>
      <c r="D36">
        <v>31528446</v>
      </c>
      <c r="E36">
        <v>1</v>
      </c>
      <c r="F36">
        <v>1</v>
      </c>
      <c r="G36">
        <v>1</v>
      </c>
      <c r="H36">
        <v>2</v>
      </c>
      <c r="I36" t="s">
        <v>261</v>
      </c>
      <c r="J36" t="s">
        <v>262</v>
      </c>
      <c r="K36" t="s">
        <v>263</v>
      </c>
      <c r="L36">
        <v>1368</v>
      </c>
      <c r="N36">
        <v>1011</v>
      </c>
      <c r="O36" t="s">
        <v>235</v>
      </c>
      <c r="P36" t="s">
        <v>235</v>
      </c>
      <c r="Q36">
        <v>1</v>
      </c>
      <c r="W36">
        <v>0</v>
      </c>
      <c r="X36">
        <v>-353815937</v>
      </c>
      <c r="Y36">
        <v>0.13</v>
      </c>
      <c r="AA36">
        <v>0</v>
      </c>
      <c r="AB36">
        <v>101.25</v>
      </c>
      <c r="AC36">
        <v>0</v>
      </c>
      <c r="AD36">
        <v>0</v>
      </c>
      <c r="AE36">
        <v>0</v>
      </c>
      <c r="AF36">
        <v>8.1</v>
      </c>
      <c r="AG36">
        <v>0</v>
      </c>
      <c r="AH36">
        <v>0</v>
      </c>
      <c r="AI36">
        <v>1</v>
      </c>
      <c r="AJ36">
        <v>12.5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0.13</v>
      </c>
      <c r="AU36" t="s">
        <v>3</v>
      </c>
      <c r="AV36">
        <v>0</v>
      </c>
      <c r="AW36">
        <v>2</v>
      </c>
      <c r="AX36">
        <v>34748689</v>
      </c>
      <c r="AY36">
        <v>1</v>
      </c>
      <c r="AZ36">
        <v>0</v>
      </c>
      <c r="BA36">
        <v>38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Y36*Source!I29</f>
        <v>0.13</v>
      </c>
      <c r="CY36">
        <f>AB36</f>
        <v>101.25</v>
      </c>
      <c r="CZ36">
        <f>AF36</f>
        <v>8.1</v>
      </c>
      <c r="DA36">
        <f>AJ36</f>
        <v>12.5</v>
      </c>
      <c r="DB36">
        <f t="shared" si="11"/>
        <v>1.05</v>
      </c>
      <c r="DC36">
        <f t="shared" si="12"/>
        <v>0</v>
      </c>
      <c r="GQ36">
        <v>-1</v>
      </c>
      <c r="GR36">
        <v>-1</v>
      </c>
    </row>
    <row r="37" spans="1:200" x14ac:dyDescent="0.2">
      <c r="A37">
        <f>ROW(Source!A29)</f>
        <v>29</v>
      </c>
      <c r="B37">
        <v>34748540</v>
      </c>
      <c r="C37">
        <v>34748687</v>
      </c>
      <c r="D37">
        <v>31444646</v>
      </c>
      <c r="E37">
        <v>1</v>
      </c>
      <c r="F37">
        <v>1</v>
      </c>
      <c r="G37">
        <v>1</v>
      </c>
      <c r="H37">
        <v>3</v>
      </c>
      <c r="I37" t="s">
        <v>264</v>
      </c>
      <c r="J37" t="s">
        <v>265</v>
      </c>
      <c r="K37" t="s">
        <v>266</v>
      </c>
      <c r="L37">
        <v>1346</v>
      </c>
      <c r="N37">
        <v>1009</v>
      </c>
      <c r="O37" t="s">
        <v>239</v>
      </c>
      <c r="P37" t="s">
        <v>239</v>
      </c>
      <c r="Q37">
        <v>1</v>
      </c>
      <c r="W37">
        <v>0</v>
      </c>
      <c r="X37">
        <v>618806536</v>
      </c>
      <c r="Y37">
        <v>6.0000000000000001E-3</v>
      </c>
      <c r="AA37">
        <v>562.13</v>
      </c>
      <c r="AB37">
        <v>0</v>
      </c>
      <c r="AC37">
        <v>0</v>
      </c>
      <c r="AD37">
        <v>0</v>
      </c>
      <c r="AE37">
        <v>44.97</v>
      </c>
      <c r="AF37">
        <v>0</v>
      </c>
      <c r="AG37">
        <v>0</v>
      </c>
      <c r="AH37">
        <v>0</v>
      </c>
      <c r="AI37">
        <v>12.5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6.0000000000000001E-3</v>
      </c>
      <c r="AU37" t="s">
        <v>3</v>
      </c>
      <c r="AV37">
        <v>0</v>
      </c>
      <c r="AW37">
        <v>2</v>
      </c>
      <c r="AX37">
        <v>34748690</v>
      </c>
      <c r="AY37">
        <v>1</v>
      </c>
      <c r="AZ37">
        <v>0</v>
      </c>
      <c r="BA37">
        <v>39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Y37*Source!I29</f>
        <v>6.0000000000000001E-3</v>
      </c>
      <c r="CY37">
        <f t="shared" ref="CY37:CY48" si="13">AA37</f>
        <v>562.13</v>
      </c>
      <c r="CZ37">
        <f t="shared" ref="CZ37:CZ48" si="14">AE37</f>
        <v>44.97</v>
      </c>
      <c r="DA37">
        <f t="shared" ref="DA37:DA48" si="15">AI37</f>
        <v>12.5</v>
      </c>
      <c r="DB37">
        <f t="shared" si="11"/>
        <v>0.27</v>
      </c>
      <c r="DC37">
        <f t="shared" si="12"/>
        <v>0</v>
      </c>
      <c r="DH37">
        <f>Source!I29*SmtRes!Y37</f>
        <v>6.0000000000000001E-3</v>
      </c>
      <c r="DI37">
        <f>AA37</f>
        <v>562.13</v>
      </c>
      <c r="DJ37">
        <f>EtalonRes!Y39</f>
        <v>44.97</v>
      </c>
      <c r="DK37">
        <f>Source!BC29</f>
        <v>12.5</v>
      </c>
      <c r="GQ37">
        <v>-1</v>
      </c>
      <c r="GR37">
        <v>-1</v>
      </c>
    </row>
    <row r="38" spans="1:200" x14ac:dyDescent="0.2">
      <c r="A38">
        <f>ROW(Source!A29)</f>
        <v>29</v>
      </c>
      <c r="B38">
        <v>34748540</v>
      </c>
      <c r="C38">
        <v>34748687</v>
      </c>
      <c r="D38">
        <v>31446378</v>
      </c>
      <c r="E38">
        <v>1</v>
      </c>
      <c r="F38">
        <v>1</v>
      </c>
      <c r="G38">
        <v>1</v>
      </c>
      <c r="H38">
        <v>3</v>
      </c>
      <c r="I38" t="s">
        <v>267</v>
      </c>
      <c r="J38" t="s">
        <v>268</v>
      </c>
      <c r="K38" t="s">
        <v>269</v>
      </c>
      <c r="L38">
        <v>1346</v>
      </c>
      <c r="N38">
        <v>1009</v>
      </c>
      <c r="O38" t="s">
        <v>239</v>
      </c>
      <c r="P38" t="s">
        <v>239</v>
      </c>
      <c r="Q38">
        <v>1</v>
      </c>
      <c r="W38">
        <v>0</v>
      </c>
      <c r="X38">
        <v>56922527</v>
      </c>
      <c r="Y38">
        <v>1E-3</v>
      </c>
      <c r="AA38">
        <v>143.75</v>
      </c>
      <c r="AB38">
        <v>0</v>
      </c>
      <c r="AC38">
        <v>0</v>
      </c>
      <c r="AD38">
        <v>0</v>
      </c>
      <c r="AE38">
        <v>11.5</v>
      </c>
      <c r="AF38">
        <v>0</v>
      </c>
      <c r="AG38">
        <v>0</v>
      </c>
      <c r="AH38">
        <v>0</v>
      </c>
      <c r="AI38">
        <v>12.5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1E-3</v>
      </c>
      <c r="AU38" t="s">
        <v>3</v>
      </c>
      <c r="AV38">
        <v>0</v>
      </c>
      <c r="AW38">
        <v>2</v>
      </c>
      <c r="AX38">
        <v>34748691</v>
      </c>
      <c r="AY38">
        <v>1</v>
      </c>
      <c r="AZ38">
        <v>0</v>
      </c>
      <c r="BA38">
        <v>40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Y38*Source!I29</f>
        <v>1E-3</v>
      </c>
      <c r="CY38">
        <f t="shared" si="13"/>
        <v>143.75</v>
      </c>
      <c r="CZ38">
        <f t="shared" si="14"/>
        <v>11.5</v>
      </c>
      <c r="DA38">
        <f t="shared" si="15"/>
        <v>12.5</v>
      </c>
      <c r="DB38">
        <f t="shared" si="11"/>
        <v>0.01</v>
      </c>
      <c r="DC38">
        <f t="shared" si="12"/>
        <v>0</v>
      </c>
      <c r="DH38">
        <f>Source!I29*SmtRes!Y38</f>
        <v>1E-3</v>
      </c>
      <c r="DI38">
        <f>AA38</f>
        <v>143.75</v>
      </c>
      <c r="DJ38">
        <f>EtalonRes!Y40</f>
        <v>11.5</v>
      </c>
      <c r="DK38">
        <f>Source!BC29</f>
        <v>12.5</v>
      </c>
      <c r="GQ38">
        <v>-1</v>
      </c>
      <c r="GR38">
        <v>-1</v>
      </c>
    </row>
    <row r="39" spans="1:200" x14ac:dyDescent="0.2">
      <c r="A39">
        <f>ROW(Source!A29)</f>
        <v>29</v>
      </c>
      <c r="B39">
        <v>34748540</v>
      </c>
      <c r="C39">
        <v>34748687</v>
      </c>
      <c r="D39">
        <v>31446697</v>
      </c>
      <c r="E39">
        <v>1</v>
      </c>
      <c r="F39">
        <v>1</v>
      </c>
      <c r="G39">
        <v>1</v>
      </c>
      <c r="H39">
        <v>3</v>
      </c>
      <c r="I39" t="s">
        <v>270</v>
      </c>
      <c r="J39" t="s">
        <v>271</v>
      </c>
      <c r="K39" t="s">
        <v>272</v>
      </c>
      <c r="L39">
        <v>1346</v>
      </c>
      <c r="N39">
        <v>1009</v>
      </c>
      <c r="O39" t="s">
        <v>239</v>
      </c>
      <c r="P39" t="s">
        <v>239</v>
      </c>
      <c r="Q39">
        <v>1</v>
      </c>
      <c r="W39">
        <v>0</v>
      </c>
      <c r="X39">
        <v>-1088866022</v>
      </c>
      <c r="Y39">
        <v>1.2E-2</v>
      </c>
      <c r="AA39">
        <v>380</v>
      </c>
      <c r="AB39">
        <v>0</v>
      </c>
      <c r="AC39">
        <v>0</v>
      </c>
      <c r="AD39">
        <v>0</v>
      </c>
      <c r="AE39">
        <v>30.4</v>
      </c>
      <c r="AF39">
        <v>0</v>
      </c>
      <c r="AG39">
        <v>0</v>
      </c>
      <c r="AH39">
        <v>0</v>
      </c>
      <c r="AI39">
        <v>12.5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1.2E-2</v>
      </c>
      <c r="AU39" t="s">
        <v>3</v>
      </c>
      <c r="AV39">
        <v>0</v>
      </c>
      <c r="AW39">
        <v>2</v>
      </c>
      <c r="AX39">
        <v>34748692</v>
      </c>
      <c r="AY39">
        <v>1</v>
      </c>
      <c r="AZ39">
        <v>0</v>
      </c>
      <c r="BA39">
        <v>41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Y39*Source!I29</f>
        <v>1.2E-2</v>
      </c>
      <c r="CY39">
        <f t="shared" si="13"/>
        <v>380</v>
      </c>
      <c r="CZ39">
        <f t="shared" si="14"/>
        <v>30.4</v>
      </c>
      <c r="DA39">
        <f t="shared" si="15"/>
        <v>12.5</v>
      </c>
      <c r="DB39">
        <f t="shared" si="11"/>
        <v>0.36</v>
      </c>
      <c r="DC39">
        <f t="shared" si="12"/>
        <v>0</v>
      </c>
      <c r="DH39">
        <f>Source!I29*SmtRes!Y39</f>
        <v>1.2E-2</v>
      </c>
      <c r="DI39">
        <f>AA39</f>
        <v>380</v>
      </c>
      <c r="DJ39">
        <f>EtalonRes!Y41</f>
        <v>30.4</v>
      </c>
      <c r="DK39">
        <f>Source!BC29</f>
        <v>12.5</v>
      </c>
      <c r="GQ39">
        <v>-1</v>
      </c>
      <c r="GR39">
        <v>-1</v>
      </c>
    </row>
    <row r="40" spans="1:200" x14ac:dyDescent="0.2">
      <c r="A40">
        <f>ROW(Source!A29)</f>
        <v>29</v>
      </c>
      <c r="B40">
        <v>34748540</v>
      </c>
      <c r="C40">
        <v>34748687</v>
      </c>
      <c r="D40">
        <v>31447861</v>
      </c>
      <c r="E40">
        <v>1</v>
      </c>
      <c r="F40">
        <v>1</v>
      </c>
      <c r="G40">
        <v>1</v>
      </c>
      <c r="H40">
        <v>3</v>
      </c>
      <c r="I40" t="s">
        <v>273</v>
      </c>
      <c r="J40" t="s">
        <v>274</v>
      </c>
      <c r="K40" t="s">
        <v>275</v>
      </c>
      <c r="L40">
        <v>1346</v>
      </c>
      <c r="N40">
        <v>1009</v>
      </c>
      <c r="O40" t="s">
        <v>239</v>
      </c>
      <c r="P40" t="s">
        <v>239</v>
      </c>
      <c r="Q40">
        <v>1</v>
      </c>
      <c r="W40">
        <v>0</v>
      </c>
      <c r="X40">
        <v>586013393</v>
      </c>
      <c r="Y40">
        <v>7.0000000000000007E-2</v>
      </c>
      <c r="AA40">
        <v>132.13</v>
      </c>
      <c r="AB40">
        <v>0</v>
      </c>
      <c r="AC40">
        <v>0</v>
      </c>
      <c r="AD40">
        <v>0</v>
      </c>
      <c r="AE40">
        <v>10.57</v>
      </c>
      <c r="AF40">
        <v>0</v>
      </c>
      <c r="AG40">
        <v>0</v>
      </c>
      <c r="AH40">
        <v>0</v>
      </c>
      <c r="AI40">
        <v>12.5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7.0000000000000007E-2</v>
      </c>
      <c r="AU40" t="s">
        <v>3</v>
      </c>
      <c r="AV40">
        <v>0</v>
      </c>
      <c r="AW40">
        <v>2</v>
      </c>
      <c r="AX40">
        <v>34748693</v>
      </c>
      <c r="AY40">
        <v>1</v>
      </c>
      <c r="AZ40">
        <v>0</v>
      </c>
      <c r="BA40">
        <v>42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Y40*Source!I29</f>
        <v>7.0000000000000007E-2</v>
      </c>
      <c r="CY40">
        <f t="shared" si="13"/>
        <v>132.13</v>
      </c>
      <c r="CZ40">
        <f t="shared" si="14"/>
        <v>10.57</v>
      </c>
      <c r="DA40">
        <f t="shared" si="15"/>
        <v>12.5</v>
      </c>
      <c r="DB40">
        <f t="shared" si="11"/>
        <v>0.74</v>
      </c>
      <c r="DC40">
        <f t="shared" si="12"/>
        <v>0</v>
      </c>
      <c r="DH40">
        <f>Source!I29*SmtRes!Y40</f>
        <v>7.0000000000000007E-2</v>
      </c>
      <c r="DI40">
        <f>AA40</f>
        <v>132.13</v>
      </c>
      <c r="DJ40">
        <f>EtalonRes!Y42</f>
        <v>10.57</v>
      </c>
      <c r="DK40">
        <f>Source!BC29</f>
        <v>12.5</v>
      </c>
      <c r="GQ40">
        <v>-1</v>
      </c>
      <c r="GR40">
        <v>-1</v>
      </c>
    </row>
    <row r="41" spans="1:200" x14ac:dyDescent="0.2">
      <c r="A41">
        <f>ROW(Source!A29)</f>
        <v>29</v>
      </c>
      <c r="B41">
        <v>34748540</v>
      </c>
      <c r="C41">
        <v>34748687</v>
      </c>
      <c r="D41">
        <v>31449051</v>
      </c>
      <c r="E41">
        <v>1</v>
      </c>
      <c r="F41">
        <v>1</v>
      </c>
      <c r="G41">
        <v>1</v>
      </c>
      <c r="H41">
        <v>3</v>
      </c>
      <c r="I41" t="s">
        <v>276</v>
      </c>
      <c r="J41" t="s">
        <v>277</v>
      </c>
      <c r="K41" t="s">
        <v>278</v>
      </c>
      <c r="L41">
        <v>1346</v>
      </c>
      <c r="N41">
        <v>1009</v>
      </c>
      <c r="O41" t="s">
        <v>239</v>
      </c>
      <c r="P41" t="s">
        <v>239</v>
      </c>
      <c r="Q41">
        <v>1</v>
      </c>
      <c r="W41">
        <v>0</v>
      </c>
      <c r="X41">
        <v>103900845</v>
      </c>
      <c r="Y41">
        <v>4.9000000000000002E-2</v>
      </c>
      <c r="AA41">
        <v>113</v>
      </c>
      <c r="AB41">
        <v>0</v>
      </c>
      <c r="AC41">
        <v>0</v>
      </c>
      <c r="AD41">
        <v>0</v>
      </c>
      <c r="AE41">
        <v>9.0399999999999991</v>
      </c>
      <c r="AF41">
        <v>0</v>
      </c>
      <c r="AG41">
        <v>0</v>
      </c>
      <c r="AH41">
        <v>0</v>
      </c>
      <c r="AI41">
        <v>12.5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4.9000000000000002E-2</v>
      </c>
      <c r="AU41" t="s">
        <v>3</v>
      </c>
      <c r="AV41">
        <v>0</v>
      </c>
      <c r="AW41">
        <v>2</v>
      </c>
      <c r="AX41">
        <v>34748694</v>
      </c>
      <c r="AY41">
        <v>1</v>
      </c>
      <c r="AZ41">
        <v>0</v>
      </c>
      <c r="BA41">
        <v>43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Y41*Source!I29</f>
        <v>4.9000000000000002E-2</v>
      </c>
      <c r="CY41">
        <f t="shared" si="13"/>
        <v>113</v>
      </c>
      <c r="CZ41">
        <f t="shared" si="14"/>
        <v>9.0399999999999991</v>
      </c>
      <c r="DA41">
        <f t="shared" si="15"/>
        <v>12.5</v>
      </c>
      <c r="DB41">
        <f t="shared" si="11"/>
        <v>0.44</v>
      </c>
      <c r="DC41">
        <f t="shared" si="12"/>
        <v>0</v>
      </c>
      <c r="DH41">
        <f>Source!I29*SmtRes!Y41</f>
        <v>4.9000000000000002E-2</v>
      </c>
      <c r="DI41">
        <f>AA41</f>
        <v>113</v>
      </c>
      <c r="DJ41">
        <f>EtalonRes!Y43</f>
        <v>9.0399999999999991</v>
      </c>
      <c r="DK41">
        <f>Source!BC29</f>
        <v>12.5</v>
      </c>
      <c r="GQ41">
        <v>-1</v>
      </c>
      <c r="GR41">
        <v>-1</v>
      </c>
    </row>
    <row r="42" spans="1:200" x14ac:dyDescent="0.2">
      <c r="A42">
        <f>ROW(Source!A29)</f>
        <v>29</v>
      </c>
      <c r="B42">
        <v>34748540</v>
      </c>
      <c r="C42">
        <v>34748687</v>
      </c>
      <c r="D42">
        <v>31449183</v>
      </c>
      <c r="E42">
        <v>1</v>
      </c>
      <c r="F42">
        <v>1</v>
      </c>
      <c r="G42">
        <v>1</v>
      </c>
      <c r="H42">
        <v>3</v>
      </c>
      <c r="I42" t="s">
        <v>279</v>
      </c>
      <c r="J42" t="s">
        <v>280</v>
      </c>
      <c r="K42" t="s">
        <v>281</v>
      </c>
      <c r="L42">
        <v>1355</v>
      </c>
      <c r="N42">
        <v>1010</v>
      </c>
      <c r="O42" t="s">
        <v>250</v>
      </c>
      <c r="P42" t="s">
        <v>250</v>
      </c>
      <c r="Q42">
        <v>100</v>
      </c>
      <c r="W42">
        <v>0</v>
      </c>
      <c r="X42">
        <v>1794244060</v>
      </c>
      <c r="Y42">
        <v>1.4E-2</v>
      </c>
      <c r="AA42">
        <v>1075</v>
      </c>
      <c r="AB42">
        <v>0</v>
      </c>
      <c r="AC42">
        <v>0</v>
      </c>
      <c r="AD42">
        <v>0</v>
      </c>
      <c r="AE42">
        <v>86</v>
      </c>
      <c r="AF42">
        <v>0</v>
      </c>
      <c r="AG42">
        <v>0</v>
      </c>
      <c r="AH42">
        <v>0</v>
      </c>
      <c r="AI42">
        <v>12.5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1.4E-2</v>
      </c>
      <c r="AU42" t="s">
        <v>3</v>
      </c>
      <c r="AV42">
        <v>0</v>
      </c>
      <c r="AW42">
        <v>2</v>
      </c>
      <c r="AX42">
        <v>34748695</v>
      </c>
      <c r="AY42">
        <v>1</v>
      </c>
      <c r="AZ42">
        <v>0</v>
      </c>
      <c r="BA42">
        <v>44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Y42*Source!I29</f>
        <v>1.4E-2</v>
      </c>
      <c r="CY42">
        <f t="shared" si="13"/>
        <v>1075</v>
      </c>
      <c r="CZ42">
        <f t="shared" si="14"/>
        <v>86</v>
      </c>
      <c r="DA42">
        <f t="shared" si="15"/>
        <v>12.5</v>
      </c>
      <c r="DB42">
        <f t="shared" si="11"/>
        <v>1.2</v>
      </c>
      <c r="DC42">
        <f t="shared" si="12"/>
        <v>0</v>
      </c>
      <c r="DH42">
        <f>Source!I29*SmtRes!Y42</f>
        <v>1.4E-2</v>
      </c>
      <c r="DI42">
        <f>AA42</f>
        <v>1075</v>
      </c>
      <c r="DJ42">
        <f>EtalonRes!Y44</f>
        <v>86</v>
      </c>
      <c r="DK42">
        <f>Source!BC29</f>
        <v>12.5</v>
      </c>
      <c r="GQ42">
        <v>-1</v>
      </c>
      <c r="GR42">
        <v>-1</v>
      </c>
    </row>
    <row r="43" spans="1:200" x14ac:dyDescent="0.2">
      <c r="A43">
        <f>ROW(Source!A29)</f>
        <v>29</v>
      </c>
      <c r="B43">
        <v>34748540</v>
      </c>
      <c r="C43">
        <v>34748687</v>
      </c>
      <c r="D43">
        <v>31450103</v>
      </c>
      <c r="E43">
        <v>1</v>
      </c>
      <c r="F43">
        <v>1</v>
      </c>
      <c r="G43">
        <v>1</v>
      </c>
      <c r="H43">
        <v>3</v>
      </c>
      <c r="I43" t="s">
        <v>282</v>
      </c>
      <c r="J43" t="s">
        <v>283</v>
      </c>
      <c r="K43" t="s">
        <v>284</v>
      </c>
      <c r="L43">
        <v>1346</v>
      </c>
      <c r="N43">
        <v>1009</v>
      </c>
      <c r="O43" t="s">
        <v>239</v>
      </c>
      <c r="P43" t="s">
        <v>239</v>
      </c>
      <c r="Q43">
        <v>1</v>
      </c>
      <c r="W43">
        <v>0</v>
      </c>
      <c r="X43">
        <v>-856710481</v>
      </c>
      <c r="Y43">
        <v>1E-3</v>
      </c>
      <c r="AA43">
        <v>1663.13</v>
      </c>
      <c r="AB43">
        <v>0</v>
      </c>
      <c r="AC43">
        <v>0</v>
      </c>
      <c r="AD43">
        <v>0</v>
      </c>
      <c r="AE43">
        <v>133.05000000000001</v>
      </c>
      <c r="AF43">
        <v>0</v>
      </c>
      <c r="AG43">
        <v>0</v>
      </c>
      <c r="AH43">
        <v>0</v>
      </c>
      <c r="AI43">
        <v>12.5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1E-3</v>
      </c>
      <c r="AU43" t="s">
        <v>3</v>
      </c>
      <c r="AV43">
        <v>0</v>
      </c>
      <c r="AW43">
        <v>2</v>
      </c>
      <c r="AX43">
        <v>34748696</v>
      </c>
      <c r="AY43">
        <v>1</v>
      </c>
      <c r="AZ43">
        <v>0</v>
      </c>
      <c r="BA43">
        <v>45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Y43*Source!I29</f>
        <v>1E-3</v>
      </c>
      <c r="CY43">
        <f t="shared" si="13"/>
        <v>1663.13</v>
      </c>
      <c r="CZ43">
        <f t="shared" si="14"/>
        <v>133.05000000000001</v>
      </c>
      <c r="DA43">
        <f t="shared" si="15"/>
        <v>12.5</v>
      </c>
      <c r="DB43">
        <f t="shared" si="11"/>
        <v>0.13</v>
      </c>
      <c r="DC43">
        <f t="shared" si="12"/>
        <v>0</v>
      </c>
      <c r="DH43">
        <f>Source!I29*SmtRes!Y43</f>
        <v>1E-3</v>
      </c>
      <c r="DI43">
        <f>AA43</f>
        <v>1663.13</v>
      </c>
      <c r="DJ43">
        <f>EtalonRes!Y45</f>
        <v>133.05000000000001</v>
      </c>
      <c r="DK43">
        <f>Source!BC29</f>
        <v>12.5</v>
      </c>
      <c r="GQ43">
        <v>-1</v>
      </c>
      <c r="GR43">
        <v>-1</v>
      </c>
    </row>
    <row r="44" spans="1:200" x14ac:dyDescent="0.2">
      <c r="A44">
        <f>ROW(Source!A29)</f>
        <v>29</v>
      </c>
      <c r="B44">
        <v>34748540</v>
      </c>
      <c r="C44">
        <v>34748687</v>
      </c>
      <c r="D44">
        <v>31467744</v>
      </c>
      <c r="E44">
        <v>1</v>
      </c>
      <c r="F44">
        <v>1</v>
      </c>
      <c r="G44">
        <v>1</v>
      </c>
      <c r="H44">
        <v>3</v>
      </c>
      <c r="I44" t="s">
        <v>285</v>
      </c>
      <c r="J44" t="s">
        <v>286</v>
      </c>
      <c r="K44" t="s">
        <v>287</v>
      </c>
      <c r="L44">
        <v>1348</v>
      </c>
      <c r="N44">
        <v>1009</v>
      </c>
      <c r="O44" t="s">
        <v>288</v>
      </c>
      <c r="P44" t="s">
        <v>288</v>
      </c>
      <c r="Q44">
        <v>1000</v>
      </c>
      <c r="W44">
        <v>0</v>
      </c>
      <c r="X44">
        <v>426000481</v>
      </c>
      <c r="Y44">
        <v>1E-3</v>
      </c>
      <c r="AA44">
        <v>143750</v>
      </c>
      <c r="AB44">
        <v>0</v>
      </c>
      <c r="AC44">
        <v>0</v>
      </c>
      <c r="AD44">
        <v>0</v>
      </c>
      <c r="AE44">
        <v>11500</v>
      </c>
      <c r="AF44">
        <v>0</v>
      </c>
      <c r="AG44">
        <v>0</v>
      </c>
      <c r="AH44">
        <v>0</v>
      </c>
      <c r="AI44">
        <v>12.5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1E-3</v>
      </c>
      <c r="AU44" t="s">
        <v>3</v>
      </c>
      <c r="AV44">
        <v>0</v>
      </c>
      <c r="AW44">
        <v>2</v>
      </c>
      <c r="AX44">
        <v>34748697</v>
      </c>
      <c r="AY44">
        <v>1</v>
      </c>
      <c r="AZ44">
        <v>0</v>
      </c>
      <c r="BA44">
        <v>46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Y44*Source!I29</f>
        <v>1E-3</v>
      </c>
      <c r="CY44">
        <f t="shared" si="13"/>
        <v>143750</v>
      </c>
      <c r="CZ44">
        <f t="shared" si="14"/>
        <v>11500</v>
      </c>
      <c r="DA44">
        <f t="shared" si="15"/>
        <v>12.5</v>
      </c>
      <c r="DB44">
        <f t="shared" si="11"/>
        <v>11.5</v>
      </c>
      <c r="DC44">
        <f t="shared" si="12"/>
        <v>0</v>
      </c>
      <c r="DH44">
        <f>Source!I29*SmtRes!Y44</f>
        <v>1E-3</v>
      </c>
      <c r="DI44">
        <f>AA44</f>
        <v>143750</v>
      </c>
      <c r="DJ44">
        <f>EtalonRes!Y46</f>
        <v>11500</v>
      </c>
      <c r="DK44">
        <f>Source!BC29</f>
        <v>12.5</v>
      </c>
      <c r="GQ44">
        <v>-1</v>
      </c>
      <c r="GR44">
        <v>-1</v>
      </c>
    </row>
    <row r="45" spans="1:200" x14ac:dyDescent="0.2">
      <c r="A45">
        <f>ROW(Source!A29)</f>
        <v>29</v>
      </c>
      <c r="B45">
        <v>34748540</v>
      </c>
      <c r="C45">
        <v>34748687</v>
      </c>
      <c r="D45">
        <v>31482923</v>
      </c>
      <c r="E45">
        <v>1</v>
      </c>
      <c r="F45">
        <v>1</v>
      </c>
      <c r="G45">
        <v>1</v>
      </c>
      <c r="H45">
        <v>3</v>
      </c>
      <c r="I45" t="s">
        <v>289</v>
      </c>
      <c r="J45" t="s">
        <v>290</v>
      </c>
      <c r="K45" t="s">
        <v>291</v>
      </c>
      <c r="L45">
        <v>1346</v>
      </c>
      <c r="N45">
        <v>1009</v>
      </c>
      <c r="O45" t="s">
        <v>239</v>
      </c>
      <c r="P45" t="s">
        <v>239</v>
      </c>
      <c r="Q45">
        <v>1</v>
      </c>
      <c r="W45">
        <v>0</v>
      </c>
      <c r="X45">
        <v>210558753</v>
      </c>
      <c r="Y45">
        <v>3.5999999999999997E-2</v>
      </c>
      <c r="AA45">
        <v>357.5</v>
      </c>
      <c r="AB45">
        <v>0</v>
      </c>
      <c r="AC45">
        <v>0</v>
      </c>
      <c r="AD45">
        <v>0</v>
      </c>
      <c r="AE45">
        <v>28.6</v>
      </c>
      <c r="AF45">
        <v>0</v>
      </c>
      <c r="AG45">
        <v>0</v>
      </c>
      <c r="AH45">
        <v>0</v>
      </c>
      <c r="AI45">
        <v>12.5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3.5999999999999997E-2</v>
      </c>
      <c r="AU45" t="s">
        <v>3</v>
      </c>
      <c r="AV45">
        <v>0</v>
      </c>
      <c r="AW45">
        <v>2</v>
      </c>
      <c r="AX45">
        <v>34748698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Y45*Source!I29</f>
        <v>3.5999999999999997E-2</v>
      </c>
      <c r="CY45">
        <f t="shared" si="13"/>
        <v>357.5</v>
      </c>
      <c r="CZ45">
        <f t="shared" si="14"/>
        <v>28.6</v>
      </c>
      <c r="DA45">
        <f t="shared" si="15"/>
        <v>12.5</v>
      </c>
      <c r="DB45">
        <f t="shared" si="11"/>
        <v>1.03</v>
      </c>
      <c r="DC45">
        <f t="shared" si="12"/>
        <v>0</v>
      </c>
      <c r="DH45">
        <f>Source!I29*SmtRes!Y45</f>
        <v>3.5999999999999997E-2</v>
      </c>
      <c r="DI45">
        <f>AA45</f>
        <v>357.5</v>
      </c>
      <c r="DJ45">
        <f>EtalonRes!Y47</f>
        <v>28.6</v>
      </c>
      <c r="DK45">
        <f>Source!BC29</f>
        <v>12.5</v>
      </c>
      <c r="GQ45">
        <v>-1</v>
      </c>
      <c r="GR45">
        <v>-1</v>
      </c>
    </row>
    <row r="46" spans="1:200" x14ac:dyDescent="0.2">
      <c r="A46">
        <f>ROW(Source!A29)</f>
        <v>29</v>
      </c>
      <c r="B46">
        <v>34748540</v>
      </c>
      <c r="C46">
        <v>34748687</v>
      </c>
      <c r="D46">
        <v>31483076</v>
      </c>
      <c r="E46">
        <v>1</v>
      </c>
      <c r="F46">
        <v>1</v>
      </c>
      <c r="G46">
        <v>1</v>
      </c>
      <c r="H46">
        <v>3</v>
      </c>
      <c r="I46" t="s">
        <v>292</v>
      </c>
      <c r="J46" t="s">
        <v>293</v>
      </c>
      <c r="K46" t="s">
        <v>294</v>
      </c>
      <c r="L46">
        <v>1346</v>
      </c>
      <c r="N46">
        <v>1009</v>
      </c>
      <c r="O46" t="s">
        <v>239</v>
      </c>
      <c r="P46" t="s">
        <v>239</v>
      </c>
      <c r="Q46">
        <v>1</v>
      </c>
      <c r="W46">
        <v>0</v>
      </c>
      <c r="X46">
        <v>-1274984028</v>
      </c>
      <c r="Y46">
        <v>6.0000000000000001E-3</v>
      </c>
      <c r="AA46">
        <v>445.38</v>
      </c>
      <c r="AB46">
        <v>0</v>
      </c>
      <c r="AC46">
        <v>0</v>
      </c>
      <c r="AD46">
        <v>0</v>
      </c>
      <c r="AE46">
        <v>35.630000000000003</v>
      </c>
      <c r="AF46">
        <v>0</v>
      </c>
      <c r="AG46">
        <v>0</v>
      </c>
      <c r="AH46">
        <v>0</v>
      </c>
      <c r="AI46">
        <v>12.5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6.0000000000000001E-3</v>
      </c>
      <c r="AU46" t="s">
        <v>3</v>
      </c>
      <c r="AV46">
        <v>0</v>
      </c>
      <c r="AW46">
        <v>2</v>
      </c>
      <c r="AX46">
        <v>34748699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Y46*Source!I29</f>
        <v>6.0000000000000001E-3</v>
      </c>
      <c r="CY46">
        <f t="shared" si="13"/>
        <v>445.38</v>
      </c>
      <c r="CZ46">
        <f t="shared" si="14"/>
        <v>35.630000000000003</v>
      </c>
      <c r="DA46">
        <f t="shared" si="15"/>
        <v>12.5</v>
      </c>
      <c r="DB46">
        <f t="shared" si="11"/>
        <v>0.21</v>
      </c>
      <c r="DC46">
        <f t="shared" si="12"/>
        <v>0</v>
      </c>
      <c r="DH46">
        <f>Source!I29*SmtRes!Y46</f>
        <v>6.0000000000000001E-3</v>
      </c>
      <c r="DI46">
        <f>AA46</f>
        <v>445.38</v>
      </c>
      <c r="DJ46">
        <f>EtalonRes!Y48</f>
        <v>35.630000000000003</v>
      </c>
      <c r="DK46">
        <f>Source!BC29</f>
        <v>12.5</v>
      </c>
      <c r="GQ46">
        <v>-1</v>
      </c>
      <c r="GR46">
        <v>-1</v>
      </c>
    </row>
    <row r="47" spans="1:200" x14ac:dyDescent="0.2">
      <c r="A47">
        <f>ROW(Source!A29)</f>
        <v>29</v>
      </c>
      <c r="B47">
        <v>34748540</v>
      </c>
      <c r="C47">
        <v>34748687</v>
      </c>
      <c r="D47">
        <v>31496552</v>
      </c>
      <c r="E47">
        <v>1</v>
      </c>
      <c r="F47">
        <v>1</v>
      </c>
      <c r="G47">
        <v>1</v>
      </c>
      <c r="H47">
        <v>3</v>
      </c>
      <c r="I47" t="s">
        <v>295</v>
      </c>
      <c r="J47" t="s">
        <v>296</v>
      </c>
      <c r="K47" t="s">
        <v>297</v>
      </c>
      <c r="L47">
        <v>1358</v>
      </c>
      <c r="N47">
        <v>1010</v>
      </c>
      <c r="O47" t="s">
        <v>258</v>
      </c>
      <c r="P47" t="s">
        <v>258</v>
      </c>
      <c r="Q47">
        <v>10</v>
      </c>
      <c r="W47">
        <v>0</v>
      </c>
      <c r="X47">
        <v>1386890308</v>
      </c>
      <c r="Y47">
        <v>0.1</v>
      </c>
      <c r="AA47">
        <v>487.5</v>
      </c>
      <c r="AB47">
        <v>0</v>
      </c>
      <c r="AC47">
        <v>0</v>
      </c>
      <c r="AD47">
        <v>0</v>
      </c>
      <c r="AE47">
        <v>39</v>
      </c>
      <c r="AF47">
        <v>0</v>
      </c>
      <c r="AG47">
        <v>0</v>
      </c>
      <c r="AH47">
        <v>0</v>
      </c>
      <c r="AI47">
        <v>12.5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0.1</v>
      </c>
      <c r="AU47" t="s">
        <v>3</v>
      </c>
      <c r="AV47">
        <v>0</v>
      </c>
      <c r="AW47">
        <v>2</v>
      </c>
      <c r="AX47">
        <v>34748700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Y47*Source!I29</f>
        <v>0.1</v>
      </c>
      <c r="CY47">
        <f t="shared" si="13"/>
        <v>487.5</v>
      </c>
      <c r="CZ47">
        <f t="shared" si="14"/>
        <v>39</v>
      </c>
      <c r="DA47">
        <f t="shared" si="15"/>
        <v>12.5</v>
      </c>
      <c r="DB47">
        <f t="shared" si="11"/>
        <v>3.9</v>
      </c>
      <c r="DC47">
        <f t="shared" si="12"/>
        <v>0</v>
      </c>
      <c r="DH47">
        <f>Source!I29*SmtRes!Y47</f>
        <v>0.1</v>
      </c>
      <c r="DI47">
        <f>AA47</f>
        <v>487.5</v>
      </c>
      <c r="DJ47">
        <f>EtalonRes!Y49</f>
        <v>39</v>
      </c>
      <c r="DK47">
        <f>Source!BC29</f>
        <v>12.5</v>
      </c>
      <c r="GQ47">
        <v>-1</v>
      </c>
      <c r="GR47">
        <v>-1</v>
      </c>
    </row>
    <row r="48" spans="1:200" x14ac:dyDescent="0.2">
      <c r="A48">
        <f>ROW(Source!A29)</f>
        <v>29</v>
      </c>
      <c r="B48">
        <v>34748540</v>
      </c>
      <c r="C48">
        <v>34748687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298</v>
      </c>
      <c r="J48" t="s">
        <v>3</v>
      </c>
      <c r="K48" t="s">
        <v>299</v>
      </c>
      <c r="L48">
        <v>1374</v>
      </c>
      <c r="N48">
        <v>1013</v>
      </c>
      <c r="O48" t="s">
        <v>300</v>
      </c>
      <c r="P48" t="s">
        <v>300</v>
      </c>
      <c r="Q48">
        <v>1</v>
      </c>
      <c r="W48">
        <v>0</v>
      </c>
      <c r="X48">
        <v>-1731369543</v>
      </c>
      <c r="Y48">
        <v>0.3</v>
      </c>
      <c r="AA48">
        <v>12.5</v>
      </c>
      <c r="AB48">
        <v>0</v>
      </c>
      <c r="AC48">
        <v>0</v>
      </c>
      <c r="AD48">
        <v>0</v>
      </c>
      <c r="AE48">
        <v>1</v>
      </c>
      <c r="AF48">
        <v>0</v>
      </c>
      <c r="AG48">
        <v>0</v>
      </c>
      <c r="AH48">
        <v>0</v>
      </c>
      <c r="AI48">
        <v>12.5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0.3</v>
      </c>
      <c r="AU48" t="s">
        <v>3</v>
      </c>
      <c r="AV48">
        <v>0</v>
      </c>
      <c r="AW48">
        <v>2</v>
      </c>
      <c r="AX48">
        <v>34748701</v>
      </c>
      <c r="AY48">
        <v>1</v>
      </c>
      <c r="AZ48">
        <v>0</v>
      </c>
      <c r="BA48">
        <v>50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Y48*Source!I29</f>
        <v>0.3</v>
      </c>
      <c r="CY48">
        <f t="shared" si="13"/>
        <v>12.5</v>
      </c>
      <c r="CZ48">
        <f t="shared" si="14"/>
        <v>1</v>
      </c>
      <c r="DA48">
        <f t="shared" si="15"/>
        <v>12.5</v>
      </c>
      <c r="DB48">
        <f t="shared" si="11"/>
        <v>0.3</v>
      </c>
      <c r="DC48">
        <f t="shared" si="12"/>
        <v>0</v>
      </c>
      <c r="DH48">
        <f>Source!I29*SmtRes!Y48</f>
        <v>0.3</v>
      </c>
      <c r="DI48">
        <f>AA48</f>
        <v>12.5</v>
      </c>
      <c r="DJ48">
        <f>EtalonRes!Y50</f>
        <v>1</v>
      </c>
      <c r="DK48">
        <f>Source!BC29</f>
        <v>12.5</v>
      </c>
      <c r="GQ48">
        <v>-1</v>
      </c>
      <c r="GR48">
        <v>-1</v>
      </c>
    </row>
    <row r="49" spans="1:200" x14ac:dyDescent="0.2">
      <c r="A49">
        <f>ROW(Source!A30)</f>
        <v>30</v>
      </c>
      <c r="B49">
        <v>34748518</v>
      </c>
      <c r="C49">
        <v>34748704</v>
      </c>
      <c r="D49">
        <v>31725395</v>
      </c>
      <c r="E49">
        <v>1</v>
      </c>
      <c r="F49">
        <v>1</v>
      </c>
      <c r="G49">
        <v>1</v>
      </c>
      <c r="H49">
        <v>1</v>
      </c>
      <c r="I49" t="s">
        <v>301</v>
      </c>
      <c r="J49" t="s">
        <v>3</v>
      </c>
      <c r="K49" t="s">
        <v>302</v>
      </c>
      <c r="L49">
        <v>1191</v>
      </c>
      <c r="N49">
        <v>1013</v>
      </c>
      <c r="O49" t="s">
        <v>227</v>
      </c>
      <c r="P49" t="s">
        <v>227</v>
      </c>
      <c r="Q49">
        <v>1</v>
      </c>
      <c r="W49">
        <v>0</v>
      </c>
      <c r="X49">
        <v>912892513</v>
      </c>
      <c r="Y49">
        <v>34.56</v>
      </c>
      <c r="AA49">
        <v>0</v>
      </c>
      <c r="AB49">
        <v>0</v>
      </c>
      <c r="AC49">
        <v>0</v>
      </c>
      <c r="AD49">
        <v>9.92</v>
      </c>
      <c r="AE49">
        <v>0</v>
      </c>
      <c r="AF49">
        <v>0</v>
      </c>
      <c r="AG49">
        <v>0</v>
      </c>
      <c r="AH49">
        <v>9.92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34.56</v>
      </c>
      <c r="AU49" t="s">
        <v>3</v>
      </c>
      <c r="AV49">
        <v>1</v>
      </c>
      <c r="AW49">
        <v>2</v>
      </c>
      <c r="AX49">
        <v>34748705</v>
      </c>
      <c r="AY49">
        <v>1</v>
      </c>
      <c r="AZ49">
        <v>0</v>
      </c>
      <c r="BA49">
        <v>51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Y49*Source!I30</f>
        <v>0.34560000000000002</v>
      </c>
      <c r="CY49">
        <f>AD49</f>
        <v>9.92</v>
      </c>
      <c r="CZ49">
        <f>AH49</f>
        <v>9.92</v>
      </c>
      <c r="DA49">
        <f>AL49</f>
        <v>1</v>
      </c>
      <c r="DB49">
        <f t="shared" si="11"/>
        <v>342.84</v>
      </c>
      <c r="DC49">
        <f t="shared" si="12"/>
        <v>0</v>
      </c>
      <c r="GQ49">
        <v>-1</v>
      </c>
      <c r="GR49">
        <v>-1</v>
      </c>
    </row>
    <row r="50" spans="1:200" x14ac:dyDescent="0.2">
      <c r="A50">
        <f>ROW(Source!A30)</f>
        <v>30</v>
      </c>
      <c r="B50">
        <v>34748518</v>
      </c>
      <c r="C50">
        <v>34748704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230</v>
      </c>
      <c r="J50" t="s">
        <v>3</v>
      </c>
      <c r="K50" t="s">
        <v>231</v>
      </c>
      <c r="L50">
        <v>1191</v>
      </c>
      <c r="N50">
        <v>1013</v>
      </c>
      <c r="O50" t="s">
        <v>227</v>
      </c>
      <c r="P50" t="s">
        <v>227</v>
      </c>
      <c r="Q50">
        <v>1</v>
      </c>
      <c r="W50">
        <v>0</v>
      </c>
      <c r="X50">
        <v>-1417349443</v>
      </c>
      <c r="Y50">
        <v>0.05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2</v>
      </c>
      <c r="AW50">
        <v>2</v>
      </c>
      <c r="AX50">
        <v>34748706</v>
      </c>
      <c r="AY50">
        <v>1</v>
      </c>
      <c r="AZ50">
        <v>0</v>
      </c>
      <c r="BA50">
        <v>52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Y50*Source!I30</f>
        <v>5.0000000000000001E-4</v>
      </c>
      <c r="CY50">
        <f>AD50</f>
        <v>0</v>
      </c>
      <c r="CZ50">
        <f>AH50</f>
        <v>0</v>
      </c>
      <c r="DA50">
        <f>AL50</f>
        <v>1</v>
      </c>
      <c r="DB50">
        <f t="shared" si="11"/>
        <v>0</v>
      </c>
      <c r="DC50">
        <f t="shared" si="12"/>
        <v>0</v>
      </c>
      <c r="GQ50">
        <v>-1</v>
      </c>
      <c r="GR50">
        <v>-1</v>
      </c>
    </row>
    <row r="51" spans="1:200" x14ac:dyDescent="0.2">
      <c r="A51">
        <f>ROW(Source!A30)</f>
        <v>30</v>
      </c>
      <c r="B51">
        <v>34748518</v>
      </c>
      <c r="C51">
        <v>34748704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303</v>
      </c>
      <c r="J51" t="s">
        <v>304</v>
      </c>
      <c r="K51" t="s">
        <v>305</v>
      </c>
      <c r="L51">
        <v>1368</v>
      </c>
      <c r="N51">
        <v>1011</v>
      </c>
      <c r="O51" t="s">
        <v>235</v>
      </c>
      <c r="P51" t="s">
        <v>235</v>
      </c>
      <c r="Q51">
        <v>1</v>
      </c>
      <c r="W51">
        <v>0</v>
      </c>
      <c r="X51">
        <v>-1718674368</v>
      </c>
      <c r="Y51">
        <v>0.03</v>
      </c>
      <c r="AA51">
        <v>0</v>
      </c>
      <c r="AB51">
        <v>111.99</v>
      </c>
      <c r="AC51">
        <v>13.5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0.03</v>
      </c>
      <c r="AU51" t="s">
        <v>3</v>
      </c>
      <c r="AV51">
        <v>0</v>
      </c>
      <c r="AW51">
        <v>2</v>
      </c>
      <c r="AX51">
        <v>34748707</v>
      </c>
      <c r="AY51">
        <v>1</v>
      </c>
      <c r="AZ51">
        <v>0</v>
      </c>
      <c r="BA51">
        <v>53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Y51*Source!I30</f>
        <v>2.9999999999999997E-4</v>
      </c>
      <c r="CY51">
        <f>AB51</f>
        <v>111.99</v>
      </c>
      <c r="CZ51">
        <f>AF51</f>
        <v>111.99</v>
      </c>
      <c r="DA51">
        <f>AJ51</f>
        <v>1</v>
      </c>
      <c r="DB51">
        <f t="shared" si="11"/>
        <v>3.36</v>
      </c>
      <c r="DC51">
        <f t="shared" si="12"/>
        <v>0.41</v>
      </c>
      <c r="GQ51">
        <v>-1</v>
      </c>
      <c r="GR51">
        <v>-1</v>
      </c>
    </row>
    <row r="52" spans="1:200" x14ac:dyDescent="0.2">
      <c r="A52">
        <f>ROW(Source!A30)</f>
        <v>30</v>
      </c>
      <c r="B52">
        <v>34748518</v>
      </c>
      <c r="C52">
        <v>34748704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306</v>
      </c>
      <c r="J52" t="s">
        <v>307</v>
      </c>
      <c r="K52" t="s">
        <v>308</v>
      </c>
      <c r="L52">
        <v>1368</v>
      </c>
      <c r="N52">
        <v>1011</v>
      </c>
      <c r="O52" t="s">
        <v>235</v>
      </c>
      <c r="P52" t="s">
        <v>235</v>
      </c>
      <c r="Q52">
        <v>1</v>
      </c>
      <c r="W52">
        <v>0</v>
      </c>
      <c r="X52">
        <v>1372534845</v>
      </c>
      <c r="Y52">
        <v>0.02</v>
      </c>
      <c r="AA52">
        <v>0</v>
      </c>
      <c r="AB52">
        <v>65.709999999999994</v>
      </c>
      <c r="AC52">
        <v>11.6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0.02</v>
      </c>
      <c r="AU52" t="s">
        <v>3</v>
      </c>
      <c r="AV52">
        <v>0</v>
      </c>
      <c r="AW52">
        <v>2</v>
      </c>
      <c r="AX52">
        <v>34748708</v>
      </c>
      <c r="AY52">
        <v>1</v>
      </c>
      <c r="AZ52">
        <v>0</v>
      </c>
      <c r="BA52">
        <v>54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Y52*Source!I30</f>
        <v>2.0000000000000001E-4</v>
      </c>
      <c r="CY52">
        <f>AB52</f>
        <v>65.709999999999994</v>
      </c>
      <c r="CZ52">
        <f>AF52</f>
        <v>65.709999999999994</v>
      </c>
      <c r="DA52">
        <f>AJ52</f>
        <v>1</v>
      </c>
      <c r="DB52">
        <f t="shared" si="11"/>
        <v>1.31</v>
      </c>
      <c r="DC52">
        <f t="shared" si="12"/>
        <v>0.23</v>
      </c>
      <c r="GQ52">
        <v>-1</v>
      </c>
      <c r="GR52">
        <v>-1</v>
      </c>
    </row>
    <row r="53" spans="1:200" x14ac:dyDescent="0.2">
      <c r="A53">
        <f>ROW(Source!A30)</f>
        <v>30</v>
      </c>
      <c r="B53">
        <v>34748518</v>
      </c>
      <c r="C53">
        <v>34748704</v>
      </c>
      <c r="D53">
        <v>31446697</v>
      </c>
      <c r="E53">
        <v>1</v>
      </c>
      <c r="F53">
        <v>1</v>
      </c>
      <c r="G53">
        <v>1</v>
      </c>
      <c r="H53">
        <v>3</v>
      </c>
      <c r="I53" t="s">
        <v>270</v>
      </c>
      <c r="J53" t="s">
        <v>271</v>
      </c>
      <c r="K53" t="s">
        <v>272</v>
      </c>
      <c r="L53">
        <v>1346</v>
      </c>
      <c r="N53">
        <v>1009</v>
      </c>
      <c r="O53" t="s">
        <v>239</v>
      </c>
      <c r="P53" t="s">
        <v>239</v>
      </c>
      <c r="Q53">
        <v>1</v>
      </c>
      <c r="W53">
        <v>0</v>
      </c>
      <c r="X53">
        <v>-1088866022</v>
      </c>
      <c r="Y53">
        <v>0.11</v>
      </c>
      <c r="AA53">
        <v>30.4</v>
      </c>
      <c r="AB53">
        <v>0</v>
      </c>
      <c r="AC53">
        <v>0</v>
      </c>
      <c r="AD53">
        <v>0</v>
      </c>
      <c r="AE53">
        <v>30.4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0.11</v>
      </c>
      <c r="AU53" t="s">
        <v>3</v>
      </c>
      <c r="AV53">
        <v>0</v>
      </c>
      <c r="AW53">
        <v>2</v>
      </c>
      <c r="AX53">
        <v>34748709</v>
      </c>
      <c r="AY53">
        <v>1</v>
      </c>
      <c r="AZ53">
        <v>0</v>
      </c>
      <c r="BA53">
        <v>55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Y53*Source!I30</f>
        <v>1.1000000000000001E-3</v>
      </c>
      <c r="CY53">
        <f>AA53</f>
        <v>30.4</v>
      </c>
      <c r="CZ53">
        <f>AE53</f>
        <v>30.4</v>
      </c>
      <c r="DA53">
        <f>AI53</f>
        <v>1</v>
      </c>
      <c r="DB53">
        <f t="shared" si="11"/>
        <v>3.34</v>
      </c>
      <c r="DC53">
        <f t="shared" si="12"/>
        <v>0</v>
      </c>
      <c r="DH53">
        <f>Source!I30*SmtRes!Y53</f>
        <v>1.1000000000000001E-3</v>
      </c>
      <c r="DI53">
        <f>AA53</f>
        <v>30.4</v>
      </c>
      <c r="DJ53">
        <f>EtalonRes!Y55</f>
        <v>30.4</v>
      </c>
      <c r="DK53">
        <f>Source!BC30</f>
        <v>1</v>
      </c>
      <c r="GQ53">
        <v>-1</v>
      </c>
      <c r="GR53">
        <v>-1</v>
      </c>
    </row>
    <row r="54" spans="1:200" x14ac:dyDescent="0.2">
      <c r="A54">
        <f>ROW(Source!A30)</f>
        <v>30</v>
      </c>
      <c r="B54">
        <v>34748518</v>
      </c>
      <c r="C54">
        <v>34748704</v>
      </c>
      <c r="D54">
        <v>31449183</v>
      </c>
      <c r="E54">
        <v>1</v>
      </c>
      <c r="F54">
        <v>1</v>
      </c>
      <c r="G54">
        <v>1</v>
      </c>
      <c r="H54">
        <v>3</v>
      </c>
      <c r="I54" t="s">
        <v>279</v>
      </c>
      <c r="J54" t="s">
        <v>280</v>
      </c>
      <c r="K54" t="s">
        <v>281</v>
      </c>
      <c r="L54">
        <v>1355</v>
      </c>
      <c r="N54">
        <v>1010</v>
      </c>
      <c r="O54" t="s">
        <v>250</v>
      </c>
      <c r="P54" t="s">
        <v>250</v>
      </c>
      <c r="Q54">
        <v>100</v>
      </c>
      <c r="W54">
        <v>0</v>
      </c>
      <c r="X54">
        <v>1794244060</v>
      </c>
      <c r="Y54">
        <v>1.02</v>
      </c>
      <c r="AA54">
        <v>86</v>
      </c>
      <c r="AB54">
        <v>0</v>
      </c>
      <c r="AC54">
        <v>0</v>
      </c>
      <c r="AD54">
        <v>0</v>
      </c>
      <c r="AE54">
        <v>86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1.02</v>
      </c>
      <c r="AU54" t="s">
        <v>3</v>
      </c>
      <c r="AV54">
        <v>0</v>
      </c>
      <c r="AW54">
        <v>2</v>
      </c>
      <c r="AX54">
        <v>34748710</v>
      </c>
      <c r="AY54">
        <v>1</v>
      </c>
      <c r="AZ54">
        <v>0</v>
      </c>
      <c r="BA54">
        <v>56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Y54*Source!I30</f>
        <v>1.0200000000000001E-2</v>
      </c>
      <c r="CY54">
        <f>AA54</f>
        <v>86</v>
      </c>
      <c r="CZ54">
        <f>AE54</f>
        <v>86</v>
      </c>
      <c r="DA54">
        <f>AI54</f>
        <v>1</v>
      </c>
      <c r="DB54">
        <f t="shared" si="11"/>
        <v>87.72</v>
      </c>
      <c r="DC54">
        <f t="shared" si="12"/>
        <v>0</v>
      </c>
      <c r="DH54">
        <f>Source!I30*SmtRes!Y54</f>
        <v>1.0200000000000001E-2</v>
      </c>
      <c r="DI54">
        <f>AA54</f>
        <v>86</v>
      </c>
      <c r="DJ54">
        <f>EtalonRes!Y56</f>
        <v>86</v>
      </c>
      <c r="DK54">
        <f>Source!BC30</f>
        <v>1</v>
      </c>
      <c r="GQ54">
        <v>-1</v>
      </c>
      <c r="GR54">
        <v>-1</v>
      </c>
    </row>
    <row r="55" spans="1:200" x14ac:dyDescent="0.2">
      <c r="A55">
        <f>ROW(Source!A30)</f>
        <v>30</v>
      </c>
      <c r="B55">
        <v>34748518</v>
      </c>
      <c r="C55">
        <v>34748704</v>
      </c>
      <c r="D55">
        <v>31449543</v>
      </c>
      <c r="E55">
        <v>1</v>
      </c>
      <c r="F55">
        <v>1</v>
      </c>
      <c r="G55">
        <v>1</v>
      </c>
      <c r="H55">
        <v>3</v>
      </c>
      <c r="I55" t="s">
        <v>309</v>
      </c>
      <c r="J55" t="s">
        <v>310</v>
      </c>
      <c r="K55" t="s">
        <v>311</v>
      </c>
      <c r="L55">
        <v>1348</v>
      </c>
      <c r="N55">
        <v>1009</v>
      </c>
      <c r="O55" t="s">
        <v>288</v>
      </c>
      <c r="P55" t="s">
        <v>288</v>
      </c>
      <c r="Q55">
        <v>1000</v>
      </c>
      <c r="W55">
        <v>0</v>
      </c>
      <c r="X55">
        <v>797358079</v>
      </c>
      <c r="Y55">
        <v>1.6000000000000001E-4</v>
      </c>
      <c r="AA55">
        <v>29800</v>
      </c>
      <c r="AB55">
        <v>0</v>
      </c>
      <c r="AC55">
        <v>0</v>
      </c>
      <c r="AD55">
        <v>0</v>
      </c>
      <c r="AE55">
        <v>29800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1.6000000000000001E-4</v>
      </c>
      <c r="AU55" t="s">
        <v>3</v>
      </c>
      <c r="AV55">
        <v>0</v>
      </c>
      <c r="AW55">
        <v>2</v>
      </c>
      <c r="AX55">
        <v>34748711</v>
      </c>
      <c r="AY55">
        <v>1</v>
      </c>
      <c r="AZ55">
        <v>0</v>
      </c>
      <c r="BA55">
        <v>57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Y55*Source!I30</f>
        <v>1.6000000000000001E-6</v>
      </c>
      <c r="CY55">
        <f>AA55</f>
        <v>29800</v>
      </c>
      <c r="CZ55">
        <f>AE55</f>
        <v>29800</v>
      </c>
      <c r="DA55">
        <f>AI55</f>
        <v>1</v>
      </c>
      <c r="DB55">
        <f t="shared" si="11"/>
        <v>4.7699999999999996</v>
      </c>
      <c r="DC55">
        <f t="shared" si="12"/>
        <v>0</v>
      </c>
      <c r="DH55">
        <f>Source!I30*SmtRes!Y55</f>
        <v>1.6000000000000001E-6</v>
      </c>
      <c r="DI55">
        <f>AA55</f>
        <v>29800</v>
      </c>
      <c r="DJ55">
        <f>EtalonRes!Y57</f>
        <v>29800</v>
      </c>
      <c r="DK55">
        <f>Source!BC30</f>
        <v>1</v>
      </c>
      <c r="GQ55">
        <v>-1</v>
      </c>
      <c r="GR55">
        <v>-1</v>
      </c>
    </row>
    <row r="56" spans="1:200" x14ac:dyDescent="0.2">
      <c r="A56">
        <f>ROW(Source!A30)</f>
        <v>30</v>
      </c>
      <c r="B56">
        <v>34748518</v>
      </c>
      <c r="C56">
        <v>34748704</v>
      </c>
      <c r="D56">
        <v>31449547</v>
      </c>
      <c r="E56">
        <v>1</v>
      </c>
      <c r="F56">
        <v>1</v>
      </c>
      <c r="G56">
        <v>1</v>
      </c>
      <c r="H56">
        <v>3</v>
      </c>
      <c r="I56" t="s">
        <v>312</v>
      </c>
      <c r="J56" t="s">
        <v>313</v>
      </c>
      <c r="K56" t="s">
        <v>314</v>
      </c>
      <c r="L56">
        <v>1348</v>
      </c>
      <c r="N56">
        <v>1009</v>
      </c>
      <c r="O56" t="s">
        <v>288</v>
      </c>
      <c r="P56" t="s">
        <v>288</v>
      </c>
      <c r="Q56">
        <v>1000</v>
      </c>
      <c r="W56">
        <v>0</v>
      </c>
      <c r="X56">
        <v>-1755229539</v>
      </c>
      <c r="Y56">
        <v>2.9999999999999997E-4</v>
      </c>
      <c r="AA56">
        <v>12430</v>
      </c>
      <c r="AB56">
        <v>0</v>
      </c>
      <c r="AC56">
        <v>0</v>
      </c>
      <c r="AD56">
        <v>0</v>
      </c>
      <c r="AE56">
        <v>12430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2.9999999999999997E-4</v>
      </c>
      <c r="AU56" t="s">
        <v>3</v>
      </c>
      <c r="AV56">
        <v>0</v>
      </c>
      <c r="AW56">
        <v>2</v>
      </c>
      <c r="AX56">
        <v>34748712</v>
      </c>
      <c r="AY56">
        <v>1</v>
      </c>
      <c r="AZ56">
        <v>0</v>
      </c>
      <c r="BA56">
        <v>58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Y56*Source!I30</f>
        <v>2.9999999999999997E-6</v>
      </c>
      <c r="CY56">
        <f>AA56</f>
        <v>12430</v>
      </c>
      <c r="CZ56">
        <f>AE56</f>
        <v>12430</v>
      </c>
      <c r="DA56">
        <f>AI56</f>
        <v>1</v>
      </c>
      <c r="DB56">
        <f t="shared" si="11"/>
        <v>3.73</v>
      </c>
      <c r="DC56">
        <f t="shared" si="12"/>
        <v>0</v>
      </c>
      <c r="DH56">
        <f>Source!I30*SmtRes!Y56</f>
        <v>2.9999999999999997E-6</v>
      </c>
      <c r="DI56">
        <f>AA56</f>
        <v>12430</v>
      </c>
      <c r="DJ56">
        <f>EtalonRes!Y58</f>
        <v>12430</v>
      </c>
      <c r="DK56">
        <f>Source!BC30</f>
        <v>1</v>
      </c>
      <c r="GQ56">
        <v>-1</v>
      </c>
      <c r="GR56">
        <v>-1</v>
      </c>
    </row>
    <row r="57" spans="1:200" x14ac:dyDescent="0.2">
      <c r="A57">
        <f>ROW(Source!A30)</f>
        <v>30</v>
      </c>
      <c r="B57">
        <v>34748518</v>
      </c>
      <c r="C57">
        <v>34748704</v>
      </c>
      <c r="D57">
        <v>31443668</v>
      </c>
      <c r="E57">
        <v>17</v>
      </c>
      <c r="F57">
        <v>1</v>
      </c>
      <c r="G57">
        <v>1</v>
      </c>
      <c r="H57">
        <v>3</v>
      </c>
      <c r="I57" t="s">
        <v>298</v>
      </c>
      <c r="J57" t="s">
        <v>3</v>
      </c>
      <c r="K57" t="s">
        <v>299</v>
      </c>
      <c r="L57">
        <v>1374</v>
      </c>
      <c r="N57">
        <v>1013</v>
      </c>
      <c r="O57" t="s">
        <v>300</v>
      </c>
      <c r="P57" t="s">
        <v>300</v>
      </c>
      <c r="Q57">
        <v>1</v>
      </c>
      <c r="W57">
        <v>0</v>
      </c>
      <c r="X57">
        <v>-1731369543</v>
      </c>
      <c r="Y57">
        <v>6.86</v>
      </c>
      <c r="AA57">
        <v>1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6.86</v>
      </c>
      <c r="AU57" t="s">
        <v>3</v>
      </c>
      <c r="AV57">
        <v>0</v>
      </c>
      <c r="AW57">
        <v>2</v>
      </c>
      <c r="AX57">
        <v>34748713</v>
      </c>
      <c r="AY57">
        <v>1</v>
      </c>
      <c r="AZ57">
        <v>0</v>
      </c>
      <c r="BA57">
        <v>59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Y57*Source!I30</f>
        <v>6.8600000000000008E-2</v>
      </c>
      <c r="CY57">
        <f>AA57</f>
        <v>1</v>
      </c>
      <c r="CZ57">
        <f>AE57</f>
        <v>1</v>
      </c>
      <c r="DA57">
        <f>AI57</f>
        <v>1</v>
      </c>
      <c r="DB57">
        <f t="shared" si="11"/>
        <v>6.86</v>
      </c>
      <c r="DC57">
        <f t="shared" si="12"/>
        <v>0</v>
      </c>
      <c r="DH57">
        <f>Source!I30*SmtRes!Y57</f>
        <v>6.8600000000000008E-2</v>
      </c>
      <c r="DI57">
        <f>AA57</f>
        <v>1</v>
      </c>
      <c r="DJ57">
        <f>EtalonRes!Y59</f>
        <v>1</v>
      </c>
      <c r="DK57">
        <f>Source!BC30</f>
        <v>1</v>
      </c>
      <c r="GQ57">
        <v>-1</v>
      </c>
      <c r="GR57">
        <v>-1</v>
      </c>
    </row>
    <row r="58" spans="1:200" x14ac:dyDescent="0.2">
      <c r="A58">
        <f>ROW(Source!A31)</f>
        <v>31</v>
      </c>
      <c r="B58">
        <v>34748540</v>
      </c>
      <c r="C58">
        <v>34748704</v>
      </c>
      <c r="D58">
        <v>31725395</v>
      </c>
      <c r="E58">
        <v>1</v>
      </c>
      <c r="F58">
        <v>1</v>
      </c>
      <c r="G58">
        <v>1</v>
      </c>
      <c r="H58">
        <v>1</v>
      </c>
      <c r="I58" t="s">
        <v>301</v>
      </c>
      <c r="J58" t="s">
        <v>3</v>
      </c>
      <c r="K58" t="s">
        <v>302</v>
      </c>
      <c r="L58">
        <v>1191</v>
      </c>
      <c r="N58">
        <v>1013</v>
      </c>
      <c r="O58" t="s">
        <v>227</v>
      </c>
      <c r="P58" t="s">
        <v>227</v>
      </c>
      <c r="Q58">
        <v>1</v>
      </c>
      <c r="W58">
        <v>0</v>
      </c>
      <c r="X58">
        <v>912892513</v>
      </c>
      <c r="Y58">
        <v>34.56</v>
      </c>
      <c r="AA58">
        <v>0</v>
      </c>
      <c r="AB58">
        <v>0</v>
      </c>
      <c r="AC58">
        <v>0</v>
      </c>
      <c r="AD58">
        <v>124</v>
      </c>
      <c r="AE58">
        <v>0</v>
      </c>
      <c r="AF58">
        <v>0</v>
      </c>
      <c r="AG58">
        <v>0</v>
      </c>
      <c r="AH58">
        <v>9.92</v>
      </c>
      <c r="AI58">
        <v>1</v>
      </c>
      <c r="AJ58">
        <v>1</v>
      </c>
      <c r="AK58">
        <v>1</v>
      </c>
      <c r="AL58">
        <v>12.5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34.56</v>
      </c>
      <c r="AU58" t="s">
        <v>3</v>
      </c>
      <c r="AV58">
        <v>1</v>
      </c>
      <c r="AW58">
        <v>2</v>
      </c>
      <c r="AX58">
        <v>34748705</v>
      </c>
      <c r="AY58">
        <v>1</v>
      </c>
      <c r="AZ58">
        <v>0</v>
      </c>
      <c r="BA58">
        <v>60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Y58*Source!I31</f>
        <v>0.34560000000000002</v>
      </c>
      <c r="CY58">
        <f>AD58</f>
        <v>124</v>
      </c>
      <c r="CZ58">
        <f>AH58</f>
        <v>9.92</v>
      </c>
      <c r="DA58">
        <f>AL58</f>
        <v>12.5</v>
      </c>
      <c r="DB58">
        <f t="shared" si="11"/>
        <v>342.84</v>
      </c>
      <c r="DC58">
        <f t="shared" si="12"/>
        <v>0</v>
      </c>
      <c r="GQ58">
        <v>-1</v>
      </c>
      <c r="GR58">
        <v>-1</v>
      </c>
    </row>
    <row r="59" spans="1:200" x14ac:dyDescent="0.2">
      <c r="A59">
        <f>ROW(Source!A31)</f>
        <v>31</v>
      </c>
      <c r="B59">
        <v>34748540</v>
      </c>
      <c r="C59">
        <v>34748704</v>
      </c>
      <c r="D59">
        <v>31709492</v>
      </c>
      <c r="E59">
        <v>1</v>
      </c>
      <c r="F59">
        <v>1</v>
      </c>
      <c r="G59">
        <v>1</v>
      </c>
      <c r="H59">
        <v>1</v>
      </c>
      <c r="I59" t="s">
        <v>230</v>
      </c>
      <c r="J59" t="s">
        <v>3</v>
      </c>
      <c r="K59" t="s">
        <v>231</v>
      </c>
      <c r="L59">
        <v>1191</v>
      </c>
      <c r="N59">
        <v>1013</v>
      </c>
      <c r="O59" t="s">
        <v>227</v>
      </c>
      <c r="P59" t="s">
        <v>227</v>
      </c>
      <c r="Q59">
        <v>1</v>
      </c>
      <c r="W59">
        <v>0</v>
      </c>
      <c r="X59">
        <v>-1417349443</v>
      </c>
      <c r="Y59">
        <v>0.05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12.5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0.05</v>
      </c>
      <c r="AU59" t="s">
        <v>3</v>
      </c>
      <c r="AV59">
        <v>2</v>
      </c>
      <c r="AW59">
        <v>2</v>
      </c>
      <c r="AX59">
        <v>34748706</v>
      </c>
      <c r="AY59">
        <v>1</v>
      </c>
      <c r="AZ59">
        <v>0</v>
      </c>
      <c r="BA59">
        <v>61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Y59*Source!I31</f>
        <v>5.0000000000000001E-4</v>
      </c>
      <c r="CY59">
        <f>AD59</f>
        <v>0</v>
      </c>
      <c r="CZ59">
        <f>AH59</f>
        <v>0</v>
      </c>
      <c r="DA59">
        <f>AL59</f>
        <v>1</v>
      </c>
      <c r="DB59">
        <f t="shared" si="11"/>
        <v>0</v>
      </c>
      <c r="DC59">
        <f t="shared" si="12"/>
        <v>0</v>
      </c>
      <c r="GQ59">
        <v>-1</v>
      </c>
      <c r="GR59">
        <v>-1</v>
      </c>
    </row>
    <row r="60" spans="1:200" x14ac:dyDescent="0.2">
      <c r="A60">
        <f>ROW(Source!A31)</f>
        <v>31</v>
      </c>
      <c r="B60">
        <v>34748540</v>
      </c>
      <c r="C60">
        <v>34748704</v>
      </c>
      <c r="D60">
        <v>31526753</v>
      </c>
      <c r="E60">
        <v>1</v>
      </c>
      <c r="F60">
        <v>1</v>
      </c>
      <c r="G60">
        <v>1</v>
      </c>
      <c r="H60">
        <v>2</v>
      </c>
      <c r="I60" t="s">
        <v>303</v>
      </c>
      <c r="J60" t="s">
        <v>304</v>
      </c>
      <c r="K60" t="s">
        <v>305</v>
      </c>
      <c r="L60">
        <v>1368</v>
      </c>
      <c r="N60">
        <v>1011</v>
      </c>
      <c r="O60" t="s">
        <v>235</v>
      </c>
      <c r="P60" t="s">
        <v>235</v>
      </c>
      <c r="Q60">
        <v>1</v>
      </c>
      <c r="W60">
        <v>0</v>
      </c>
      <c r="X60">
        <v>-1718674368</v>
      </c>
      <c r="Y60">
        <v>0.03</v>
      </c>
      <c r="AA60">
        <v>0</v>
      </c>
      <c r="AB60">
        <v>1399.88</v>
      </c>
      <c r="AC60">
        <v>13.5</v>
      </c>
      <c r="AD60">
        <v>0</v>
      </c>
      <c r="AE60">
        <v>0</v>
      </c>
      <c r="AF60">
        <v>111.99</v>
      </c>
      <c r="AG60">
        <v>13.5</v>
      </c>
      <c r="AH60">
        <v>0</v>
      </c>
      <c r="AI60">
        <v>1</v>
      </c>
      <c r="AJ60">
        <v>12.5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0.03</v>
      </c>
      <c r="AU60" t="s">
        <v>3</v>
      </c>
      <c r="AV60">
        <v>0</v>
      </c>
      <c r="AW60">
        <v>2</v>
      </c>
      <c r="AX60">
        <v>34748707</v>
      </c>
      <c r="AY60">
        <v>1</v>
      </c>
      <c r="AZ60">
        <v>0</v>
      </c>
      <c r="BA60">
        <v>62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Y60*Source!I31</f>
        <v>2.9999999999999997E-4</v>
      </c>
      <c r="CY60">
        <f>AB60</f>
        <v>1399.88</v>
      </c>
      <c r="CZ60">
        <f>AF60</f>
        <v>111.99</v>
      </c>
      <c r="DA60">
        <f>AJ60</f>
        <v>12.5</v>
      </c>
      <c r="DB60">
        <f t="shared" si="11"/>
        <v>3.36</v>
      </c>
      <c r="DC60">
        <f t="shared" si="12"/>
        <v>0.41</v>
      </c>
      <c r="GQ60">
        <v>-1</v>
      </c>
      <c r="GR60">
        <v>-1</v>
      </c>
    </row>
    <row r="61" spans="1:200" x14ac:dyDescent="0.2">
      <c r="A61">
        <f>ROW(Source!A31)</f>
        <v>31</v>
      </c>
      <c r="B61">
        <v>34748540</v>
      </c>
      <c r="C61">
        <v>34748704</v>
      </c>
      <c r="D61">
        <v>31528142</v>
      </c>
      <c r="E61">
        <v>1</v>
      </c>
      <c r="F61">
        <v>1</v>
      </c>
      <c r="G61">
        <v>1</v>
      </c>
      <c r="H61">
        <v>2</v>
      </c>
      <c r="I61" t="s">
        <v>306</v>
      </c>
      <c r="J61" t="s">
        <v>307</v>
      </c>
      <c r="K61" t="s">
        <v>308</v>
      </c>
      <c r="L61">
        <v>1368</v>
      </c>
      <c r="N61">
        <v>1011</v>
      </c>
      <c r="O61" t="s">
        <v>235</v>
      </c>
      <c r="P61" t="s">
        <v>235</v>
      </c>
      <c r="Q61">
        <v>1</v>
      </c>
      <c r="W61">
        <v>0</v>
      </c>
      <c r="X61">
        <v>1372534845</v>
      </c>
      <c r="Y61">
        <v>0.02</v>
      </c>
      <c r="AA61">
        <v>0</v>
      </c>
      <c r="AB61">
        <v>821.38</v>
      </c>
      <c r="AC61">
        <v>11.6</v>
      </c>
      <c r="AD61">
        <v>0</v>
      </c>
      <c r="AE61">
        <v>0</v>
      </c>
      <c r="AF61">
        <v>65.709999999999994</v>
      </c>
      <c r="AG61">
        <v>11.6</v>
      </c>
      <c r="AH61">
        <v>0</v>
      </c>
      <c r="AI61">
        <v>1</v>
      </c>
      <c r="AJ61">
        <v>12.5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0.02</v>
      </c>
      <c r="AU61" t="s">
        <v>3</v>
      </c>
      <c r="AV61">
        <v>0</v>
      </c>
      <c r="AW61">
        <v>2</v>
      </c>
      <c r="AX61">
        <v>34748708</v>
      </c>
      <c r="AY61">
        <v>1</v>
      </c>
      <c r="AZ61">
        <v>0</v>
      </c>
      <c r="BA61">
        <v>63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Y61*Source!I31</f>
        <v>2.0000000000000001E-4</v>
      </c>
      <c r="CY61">
        <f>AB61</f>
        <v>821.38</v>
      </c>
      <c r="CZ61">
        <f>AF61</f>
        <v>65.709999999999994</v>
      </c>
      <c r="DA61">
        <f>AJ61</f>
        <v>12.5</v>
      </c>
      <c r="DB61">
        <f t="shared" si="11"/>
        <v>1.31</v>
      </c>
      <c r="DC61">
        <f t="shared" si="12"/>
        <v>0.23</v>
      </c>
      <c r="GQ61">
        <v>-1</v>
      </c>
      <c r="GR61">
        <v>-1</v>
      </c>
    </row>
    <row r="62" spans="1:200" x14ac:dyDescent="0.2">
      <c r="A62">
        <f>ROW(Source!A31)</f>
        <v>31</v>
      </c>
      <c r="B62">
        <v>34748540</v>
      </c>
      <c r="C62">
        <v>34748704</v>
      </c>
      <c r="D62">
        <v>31446697</v>
      </c>
      <c r="E62">
        <v>1</v>
      </c>
      <c r="F62">
        <v>1</v>
      </c>
      <c r="G62">
        <v>1</v>
      </c>
      <c r="H62">
        <v>3</v>
      </c>
      <c r="I62" t="s">
        <v>270</v>
      </c>
      <c r="J62" t="s">
        <v>271</v>
      </c>
      <c r="K62" t="s">
        <v>272</v>
      </c>
      <c r="L62">
        <v>1346</v>
      </c>
      <c r="N62">
        <v>1009</v>
      </c>
      <c r="O62" t="s">
        <v>239</v>
      </c>
      <c r="P62" t="s">
        <v>239</v>
      </c>
      <c r="Q62">
        <v>1</v>
      </c>
      <c r="W62">
        <v>0</v>
      </c>
      <c r="X62">
        <v>-1088866022</v>
      </c>
      <c r="Y62">
        <v>0.11</v>
      </c>
      <c r="AA62">
        <v>380</v>
      </c>
      <c r="AB62">
        <v>0</v>
      </c>
      <c r="AC62">
        <v>0</v>
      </c>
      <c r="AD62">
        <v>0</v>
      </c>
      <c r="AE62">
        <v>30.4</v>
      </c>
      <c r="AF62">
        <v>0</v>
      </c>
      <c r="AG62">
        <v>0</v>
      </c>
      <c r="AH62">
        <v>0</v>
      </c>
      <c r="AI62">
        <v>12.5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0.11</v>
      </c>
      <c r="AU62" t="s">
        <v>3</v>
      </c>
      <c r="AV62">
        <v>0</v>
      </c>
      <c r="AW62">
        <v>2</v>
      </c>
      <c r="AX62">
        <v>34748709</v>
      </c>
      <c r="AY62">
        <v>1</v>
      </c>
      <c r="AZ62">
        <v>0</v>
      </c>
      <c r="BA62">
        <v>64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Y62*Source!I31</f>
        <v>1.1000000000000001E-3</v>
      </c>
      <c r="CY62">
        <f>AA62</f>
        <v>380</v>
      </c>
      <c r="CZ62">
        <f>AE62</f>
        <v>30.4</v>
      </c>
      <c r="DA62">
        <f>AI62</f>
        <v>12.5</v>
      </c>
      <c r="DB62">
        <f t="shared" si="11"/>
        <v>3.34</v>
      </c>
      <c r="DC62">
        <f t="shared" si="12"/>
        <v>0</v>
      </c>
      <c r="DH62">
        <f>Source!I31*SmtRes!Y62</f>
        <v>1.1000000000000001E-3</v>
      </c>
      <c r="DI62">
        <f>AA62</f>
        <v>380</v>
      </c>
      <c r="DJ62">
        <f>EtalonRes!Y64</f>
        <v>30.4</v>
      </c>
      <c r="DK62">
        <f>Source!BC31</f>
        <v>12.5</v>
      </c>
      <c r="GQ62">
        <v>-1</v>
      </c>
      <c r="GR62">
        <v>-1</v>
      </c>
    </row>
    <row r="63" spans="1:200" x14ac:dyDescent="0.2">
      <c r="A63">
        <f>ROW(Source!A31)</f>
        <v>31</v>
      </c>
      <c r="B63">
        <v>34748540</v>
      </c>
      <c r="C63">
        <v>34748704</v>
      </c>
      <c r="D63">
        <v>31449183</v>
      </c>
      <c r="E63">
        <v>1</v>
      </c>
      <c r="F63">
        <v>1</v>
      </c>
      <c r="G63">
        <v>1</v>
      </c>
      <c r="H63">
        <v>3</v>
      </c>
      <c r="I63" t="s">
        <v>279</v>
      </c>
      <c r="J63" t="s">
        <v>280</v>
      </c>
      <c r="K63" t="s">
        <v>281</v>
      </c>
      <c r="L63">
        <v>1355</v>
      </c>
      <c r="N63">
        <v>1010</v>
      </c>
      <c r="O63" t="s">
        <v>250</v>
      </c>
      <c r="P63" t="s">
        <v>250</v>
      </c>
      <c r="Q63">
        <v>100</v>
      </c>
      <c r="W63">
        <v>0</v>
      </c>
      <c r="X63">
        <v>1794244060</v>
      </c>
      <c r="Y63">
        <v>1.02</v>
      </c>
      <c r="AA63">
        <v>1075</v>
      </c>
      <c r="AB63">
        <v>0</v>
      </c>
      <c r="AC63">
        <v>0</v>
      </c>
      <c r="AD63">
        <v>0</v>
      </c>
      <c r="AE63">
        <v>86</v>
      </c>
      <c r="AF63">
        <v>0</v>
      </c>
      <c r="AG63">
        <v>0</v>
      </c>
      <c r="AH63">
        <v>0</v>
      </c>
      <c r="AI63">
        <v>12.5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1.02</v>
      </c>
      <c r="AU63" t="s">
        <v>3</v>
      </c>
      <c r="AV63">
        <v>0</v>
      </c>
      <c r="AW63">
        <v>2</v>
      </c>
      <c r="AX63">
        <v>34748710</v>
      </c>
      <c r="AY63">
        <v>1</v>
      </c>
      <c r="AZ63">
        <v>0</v>
      </c>
      <c r="BA63">
        <v>65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Y63*Source!I31</f>
        <v>1.0200000000000001E-2</v>
      </c>
      <c r="CY63">
        <f>AA63</f>
        <v>1075</v>
      </c>
      <c r="CZ63">
        <f>AE63</f>
        <v>86</v>
      </c>
      <c r="DA63">
        <f>AI63</f>
        <v>12.5</v>
      </c>
      <c r="DB63">
        <f t="shared" si="11"/>
        <v>87.72</v>
      </c>
      <c r="DC63">
        <f t="shared" si="12"/>
        <v>0</v>
      </c>
      <c r="DH63">
        <f>Source!I31*SmtRes!Y63</f>
        <v>1.0200000000000001E-2</v>
      </c>
      <c r="DI63">
        <f>AA63</f>
        <v>1075</v>
      </c>
      <c r="DJ63">
        <f>EtalonRes!Y65</f>
        <v>86</v>
      </c>
      <c r="DK63">
        <f>Source!BC31</f>
        <v>12.5</v>
      </c>
      <c r="GQ63">
        <v>-1</v>
      </c>
      <c r="GR63">
        <v>-1</v>
      </c>
    </row>
    <row r="64" spans="1:200" x14ac:dyDescent="0.2">
      <c r="A64">
        <f>ROW(Source!A31)</f>
        <v>31</v>
      </c>
      <c r="B64">
        <v>34748540</v>
      </c>
      <c r="C64">
        <v>34748704</v>
      </c>
      <c r="D64">
        <v>31449543</v>
      </c>
      <c r="E64">
        <v>1</v>
      </c>
      <c r="F64">
        <v>1</v>
      </c>
      <c r="G64">
        <v>1</v>
      </c>
      <c r="H64">
        <v>3</v>
      </c>
      <c r="I64" t="s">
        <v>309</v>
      </c>
      <c r="J64" t="s">
        <v>310</v>
      </c>
      <c r="K64" t="s">
        <v>311</v>
      </c>
      <c r="L64">
        <v>1348</v>
      </c>
      <c r="N64">
        <v>1009</v>
      </c>
      <c r="O64" t="s">
        <v>288</v>
      </c>
      <c r="P64" t="s">
        <v>288</v>
      </c>
      <c r="Q64">
        <v>1000</v>
      </c>
      <c r="W64">
        <v>0</v>
      </c>
      <c r="X64">
        <v>797358079</v>
      </c>
      <c r="Y64">
        <v>1.6000000000000001E-4</v>
      </c>
      <c r="AA64">
        <v>372500</v>
      </c>
      <c r="AB64">
        <v>0</v>
      </c>
      <c r="AC64">
        <v>0</v>
      </c>
      <c r="AD64">
        <v>0</v>
      </c>
      <c r="AE64">
        <v>29800</v>
      </c>
      <c r="AF64">
        <v>0</v>
      </c>
      <c r="AG64">
        <v>0</v>
      </c>
      <c r="AH64">
        <v>0</v>
      </c>
      <c r="AI64">
        <v>12.5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1.6000000000000001E-4</v>
      </c>
      <c r="AU64" t="s">
        <v>3</v>
      </c>
      <c r="AV64">
        <v>0</v>
      </c>
      <c r="AW64">
        <v>2</v>
      </c>
      <c r="AX64">
        <v>34748711</v>
      </c>
      <c r="AY64">
        <v>1</v>
      </c>
      <c r="AZ64">
        <v>0</v>
      </c>
      <c r="BA64">
        <v>66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Y64*Source!I31</f>
        <v>1.6000000000000001E-6</v>
      </c>
      <c r="CY64">
        <f>AA64</f>
        <v>372500</v>
      </c>
      <c r="CZ64">
        <f>AE64</f>
        <v>29800</v>
      </c>
      <c r="DA64">
        <f>AI64</f>
        <v>12.5</v>
      </c>
      <c r="DB64">
        <f t="shared" si="11"/>
        <v>4.7699999999999996</v>
      </c>
      <c r="DC64">
        <f t="shared" si="12"/>
        <v>0</v>
      </c>
      <c r="DH64">
        <f>Source!I31*SmtRes!Y64</f>
        <v>1.6000000000000001E-6</v>
      </c>
      <c r="DI64">
        <f>AA64</f>
        <v>372500</v>
      </c>
      <c r="DJ64">
        <f>EtalonRes!Y66</f>
        <v>29800</v>
      </c>
      <c r="DK64">
        <f>Source!BC31</f>
        <v>12.5</v>
      </c>
      <c r="GQ64">
        <v>-1</v>
      </c>
      <c r="GR64">
        <v>-1</v>
      </c>
    </row>
    <row r="65" spans="1:200" x14ac:dyDescent="0.2">
      <c r="A65">
        <f>ROW(Source!A31)</f>
        <v>31</v>
      </c>
      <c r="B65">
        <v>34748540</v>
      </c>
      <c r="C65">
        <v>34748704</v>
      </c>
      <c r="D65">
        <v>31449547</v>
      </c>
      <c r="E65">
        <v>1</v>
      </c>
      <c r="F65">
        <v>1</v>
      </c>
      <c r="G65">
        <v>1</v>
      </c>
      <c r="H65">
        <v>3</v>
      </c>
      <c r="I65" t="s">
        <v>312</v>
      </c>
      <c r="J65" t="s">
        <v>313</v>
      </c>
      <c r="K65" t="s">
        <v>314</v>
      </c>
      <c r="L65">
        <v>1348</v>
      </c>
      <c r="N65">
        <v>1009</v>
      </c>
      <c r="O65" t="s">
        <v>288</v>
      </c>
      <c r="P65" t="s">
        <v>288</v>
      </c>
      <c r="Q65">
        <v>1000</v>
      </c>
      <c r="W65">
        <v>0</v>
      </c>
      <c r="X65">
        <v>-1755229539</v>
      </c>
      <c r="Y65">
        <v>2.9999999999999997E-4</v>
      </c>
      <c r="AA65">
        <v>155375</v>
      </c>
      <c r="AB65">
        <v>0</v>
      </c>
      <c r="AC65">
        <v>0</v>
      </c>
      <c r="AD65">
        <v>0</v>
      </c>
      <c r="AE65">
        <v>12430</v>
      </c>
      <c r="AF65">
        <v>0</v>
      </c>
      <c r="AG65">
        <v>0</v>
      </c>
      <c r="AH65">
        <v>0</v>
      </c>
      <c r="AI65">
        <v>12.5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2.9999999999999997E-4</v>
      </c>
      <c r="AU65" t="s">
        <v>3</v>
      </c>
      <c r="AV65">
        <v>0</v>
      </c>
      <c r="AW65">
        <v>2</v>
      </c>
      <c r="AX65">
        <v>34748712</v>
      </c>
      <c r="AY65">
        <v>1</v>
      </c>
      <c r="AZ65">
        <v>0</v>
      </c>
      <c r="BA65">
        <v>67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Y65*Source!I31</f>
        <v>2.9999999999999997E-6</v>
      </c>
      <c r="CY65">
        <f>AA65</f>
        <v>155375</v>
      </c>
      <c r="CZ65">
        <f>AE65</f>
        <v>12430</v>
      </c>
      <c r="DA65">
        <f>AI65</f>
        <v>12.5</v>
      </c>
      <c r="DB65">
        <f t="shared" ref="DB65:DB96" si="16">ROUND(ROUND(AT65*CZ65,2),2)</f>
        <v>3.73</v>
      </c>
      <c r="DC65">
        <f t="shared" ref="DC65:DC96" si="17">ROUND(ROUND(AT65*AG65,2),2)</f>
        <v>0</v>
      </c>
      <c r="DH65">
        <f>Source!I31*SmtRes!Y65</f>
        <v>2.9999999999999997E-6</v>
      </c>
      <c r="DI65">
        <f>AA65</f>
        <v>155375</v>
      </c>
      <c r="DJ65">
        <f>EtalonRes!Y67</f>
        <v>12430</v>
      </c>
      <c r="DK65">
        <f>Source!BC31</f>
        <v>12.5</v>
      </c>
      <c r="GQ65">
        <v>-1</v>
      </c>
      <c r="GR65">
        <v>-1</v>
      </c>
    </row>
    <row r="66" spans="1:200" x14ac:dyDescent="0.2">
      <c r="A66">
        <f>ROW(Source!A31)</f>
        <v>31</v>
      </c>
      <c r="B66">
        <v>34748540</v>
      </c>
      <c r="C66">
        <v>34748704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298</v>
      </c>
      <c r="J66" t="s">
        <v>3</v>
      </c>
      <c r="K66" t="s">
        <v>299</v>
      </c>
      <c r="L66">
        <v>1374</v>
      </c>
      <c r="N66">
        <v>1013</v>
      </c>
      <c r="O66" t="s">
        <v>300</v>
      </c>
      <c r="P66" t="s">
        <v>300</v>
      </c>
      <c r="Q66">
        <v>1</v>
      </c>
      <c r="W66">
        <v>0</v>
      </c>
      <c r="X66">
        <v>-1731369543</v>
      </c>
      <c r="Y66">
        <v>6.86</v>
      </c>
      <c r="AA66">
        <v>12.5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12.5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6.86</v>
      </c>
      <c r="AU66" t="s">
        <v>3</v>
      </c>
      <c r="AV66">
        <v>0</v>
      </c>
      <c r="AW66">
        <v>2</v>
      </c>
      <c r="AX66">
        <v>34748713</v>
      </c>
      <c r="AY66">
        <v>1</v>
      </c>
      <c r="AZ66">
        <v>0</v>
      </c>
      <c r="BA66">
        <v>68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Y66*Source!I31</f>
        <v>6.8600000000000008E-2</v>
      </c>
      <c r="CY66">
        <f>AA66</f>
        <v>12.5</v>
      </c>
      <c r="CZ66">
        <f>AE66</f>
        <v>1</v>
      </c>
      <c r="DA66">
        <f>AI66</f>
        <v>12.5</v>
      </c>
      <c r="DB66">
        <f t="shared" si="16"/>
        <v>6.86</v>
      </c>
      <c r="DC66">
        <f t="shared" si="17"/>
        <v>0</v>
      </c>
      <c r="DH66">
        <f>Source!I31*SmtRes!Y66</f>
        <v>6.8600000000000008E-2</v>
      </c>
      <c r="DI66">
        <f>AA66</f>
        <v>12.5</v>
      </c>
      <c r="DJ66">
        <f>EtalonRes!Y68</f>
        <v>1</v>
      </c>
      <c r="DK66">
        <f>Source!BC31</f>
        <v>12.5</v>
      </c>
      <c r="GQ66">
        <v>-1</v>
      </c>
      <c r="GR66">
        <v>-1</v>
      </c>
    </row>
    <row r="67" spans="1:200" x14ac:dyDescent="0.2">
      <c r="A67">
        <f>ROW(Source!A32)</f>
        <v>32</v>
      </c>
      <c r="B67">
        <v>34748518</v>
      </c>
      <c r="C67">
        <v>34748716</v>
      </c>
      <c r="D67">
        <v>31757860</v>
      </c>
      <c r="E67">
        <v>1</v>
      </c>
      <c r="F67">
        <v>1</v>
      </c>
      <c r="G67">
        <v>1</v>
      </c>
      <c r="H67">
        <v>1</v>
      </c>
      <c r="I67" t="s">
        <v>315</v>
      </c>
      <c r="J67" t="s">
        <v>3</v>
      </c>
      <c r="K67" t="s">
        <v>316</v>
      </c>
      <c r="L67">
        <v>1191</v>
      </c>
      <c r="N67">
        <v>1013</v>
      </c>
      <c r="O67" t="s">
        <v>227</v>
      </c>
      <c r="P67" t="s">
        <v>227</v>
      </c>
      <c r="Q67">
        <v>1</v>
      </c>
      <c r="W67">
        <v>0</v>
      </c>
      <c r="X67">
        <v>1446053411</v>
      </c>
      <c r="Y67">
        <v>9.27</v>
      </c>
      <c r="AA67">
        <v>0</v>
      </c>
      <c r="AB67">
        <v>0</v>
      </c>
      <c r="AC67">
        <v>0</v>
      </c>
      <c r="AD67">
        <v>11.09</v>
      </c>
      <c r="AE67">
        <v>0</v>
      </c>
      <c r="AF67">
        <v>0</v>
      </c>
      <c r="AG67">
        <v>0</v>
      </c>
      <c r="AH67">
        <v>11.09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9.27</v>
      </c>
      <c r="AU67" t="s">
        <v>3</v>
      </c>
      <c r="AV67">
        <v>1</v>
      </c>
      <c r="AW67">
        <v>2</v>
      </c>
      <c r="AX67">
        <v>34748717</v>
      </c>
      <c r="AY67">
        <v>1</v>
      </c>
      <c r="AZ67">
        <v>0</v>
      </c>
      <c r="BA67">
        <v>69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Y67*Source!I32</f>
        <v>0.74159999999999993</v>
      </c>
      <c r="CY67">
        <f>AD67</f>
        <v>11.09</v>
      </c>
      <c r="CZ67">
        <f>AH67</f>
        <v>11.09</v>
      </c>
      <c r="DA67">
        <f>AL67</f>
        <v>1</v>
      </c>
      <c r="DB67">
        <f t="shared" si="16"/>
        <v>102.8</v>
      </c>
      <c r="DC67">
        <f t="shared" si="17"/>
        <v>0</v>
      </c>
      <c r="GQ67">
        <v>-1</v>
      </c>
      <c r="GR67">
        <v>-1</v>
      </c>
    </row>
    <row r="68" spans="1:200" x14ac:dyDescent="0.2">
      <c r="A68">
        <f>ROW(Source!A32)</f>
        <v>32</v>
      </c>
      <c r="B68">
        <v>34748518</v>
      </c>
      <c r="C68">
        <v>34748716</v>
      </c>
      <c r="D68">
        <v>31449933</v>
      </c>
      <c r="E68">
        <v>1</v>
      </c>
      <c r="F68">
        <v>1</v>
      </c>
      <c r="G68">
        <v>1</v>
      </c>
      <c r="H68">
        <v>3</v>
      </c>
      <c r="I68" t="s">
        <v>317</v>
      </c>
      <c r="J68" t="s">
        <v>318</v>
      </c>
      <c r="K68" t="s">
        <v>319</v>
      </c>
      <c r="L68">
        <v>1346</v>
      </c>
      <c r="N68">
        <v>1009</v>
      </c>
      <c r="O68" t="s">
        <v>239</v>
      </c>
      <c r="P68" t="s">
        <v>239</v>
      </c>
      <c r="Q68">
        <v>1</v>
      </c>
      <c r="W68">
        <v>0</v>
      </c>
      <c r="X68">
        <v>-731615568</v>
      </c>
      <c r="Y68">
        <v>0.2</v>
      </c>
      <c r="AA68">
        <v>23.09</v>
      </c>
      <c r="AB68">
        <v>0</v>
      </c>
      <c r="AC68">
        <v>0</v>
      </c>
      <c r="AD68">
        <v>0</v>
      </c>
      <c r="AE68">
        <v>23.09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0.2</v>
      </c>
      <c r="AU68" t="s">
        <v>3</v>
      </c>
      <c r="AV68">
        <v>0</v>
      </c>
      <c r="AW68">
        <v>2</v>
      </c>
      <c r="AX68">
        <v>34748718</v>
      </c>
      <c r="AY68">
        <v>1</v>
      </c>
      <c r="AZ68">
        <v>0</v>
      </c>
      <c r="BA68">
        <v>70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Y68*Source!I32</f>
        <v>1.6E-2</v>
      </c>
      <c r="CY68">
        <f>AA68</f>
        <v>23.09</v>
      </c>
      <c r="CZ68">
        <f>AE68</f>
        <v>23.09</v>
      </c>
      <c r="DA68">
        <f>AI68</f>
        <v>1</v>
      </c>
      <c r="DB68">
        <f t="shared" si="16"/>
        <v>4.62</v>
      </c>
      <c r="DC68">
        <f t="shared" si="17"/>
        <v>0</v>
      </c>
      <c r="DH68">
        <f>Source!I32*SmtRes!Y68</f>
        <v>1.6E-2</v>
      </c>
      <c r="DI68">
        <f>AA68</f>
        <v>23.09</v>
      </c>
      <c r="DJ68">
        <f>EtalonRes!Y70</f>
        <v>23.09</v>
      </c>
      <c r="DK68">
        <f>Source!BC32</f>
        <v>1</v>
      </c>
      <c r="GQ68">
        <v>-1</v>
      </c>
      <c r="GR68">
        <v>-1</v>
      </c>
    </row>
    <row r="69" spans="1:200" x14ac:dyDescent="0.2">
      <c r="A69">
        <f>ROW(Source!A32)</f>
        <v>32</v>
      </c>
      <c r="B69">
        <v>34748518</v>
      </c>
      <c r="C69">
        <v>34748716</v>
      </c>
      <c r="D69">
        <v>31515411</v>
      </c>
      <c r="E69">
        <v>1</v>
      </c>
      <c r="F69">
        <v>1</v>
      </c>
      <c r="G69">
        <v>1</v>
      </c>
      <c r="H69">
        <v>3</v>
      </c>
      <c r="I69" t="s">
        <v>320</v>
      </c>
      <c r="J69" t="s">
        <v>321</v>
      </c>
      <c r="K69" t="s">
        <v>322</v>
      </c>
      <c r="L69">
        <v>1355</v>
      </c>
      <c r="N69">
        <v>1010</v>
      </c>
      <c r="O69" t="s">
        <v>250</v>
      </c>
      <c r="P69" t="s">
        <v>250</v>
      </c>
      <c r="Q69">
        <v>100</v>
      </c>
      <c r="W69">
        <v>0</v>
      </c>
      <c r="X69">
        <v>1924823676</v>
      </c>
      <c r="Y69">
        <v>0.25</v>
      </c>
      <c r="AA69">
        <v>30.74</v>
      </c>
      <c r="AB69">
        <v>0</v>
      </c>
      <c r="AC69">
        <v>0</v>
      </c>
      <c r="AD69">
        <v>0</v>
      </c>
      <c r="AE69">
        <v>30.74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0.25</v>
      </c>
      <c r="AU69" t="s">
        <v>3</v>
      </c>
      <c r="AV69">
        <v>0</v>
      </c>
      <c r="AW69">
        <v>2</v>
      </c>
      <c r="AX69">
        <v>34748719</v>
      </c>
      <c r="AY69">
        <v>1</v>
      </c>
      <c r="AZ69">
        <v>0</v>
      </c>
      <c r="BA69">
        <v>71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Y69*Source!I32</f>
        <v>0.02</v>
      </c>
      <c r="CY69">
        <f>AA69</f>
        <v>30.74</v>
      </c>
      <c r="CZ69">
        <f>AE69</f>
        <v>30.74</v>
      </c>
      <c r="DA69">
        <f>AI69</f>
        <v>1</v>
      </c>
      <c r="DB69">
        <f t="shared" si="16"/>
        <v>7.69</v>
      </c>
      <c r="DC69">
        <f t="shared" si="17"/>
        <v>0</v>
      </c>
      <c r="DH69">
        <f>Source!I32*SmtRes!Y69</f>
        <v>0.02</v>
      </c>
      <c r="DI69">
        <f>AA69</f>
        <v>30.74</v>
      </c>
      <c r="DJ69">
        <f>EtalonRes!Y71</f>
        <v>30.74</v>
      </c>
      <c r="DK69">
        <f>Source!BC32</f>
        <v>1</v>
      </c>
      <c r="GQ69">
        <v>-1</v>
      </c>
      <c r="GR69">
        <v>-1</v>
      </c>
    </row>
    <row r="70" spans="1:200" x14ac:dyDescent="0.2">
      <c r="A70">
        <f>ROW(Source!A32)</f>
        <v>32</v>
      </c>
      <c r="B70">
        <v>34748518</v>
      </c>
      <c r="C70">
        <v>34748716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298</v>
      </c>
      <c r="J70" t="s">
        <v>3</v>
      </c>
      <c r="K70" t="s">
        <v>299</v>
      </c>
      <c r="L70">
        <v>1374</v>
      </c>
      <c r="N70">
        <v>1013</v>
      </c>
      <c r="O70" t="s">
        <v>300</v>
      </c>
      <c r="P70" t="s">
        <v>300</v>
      </c>
      <c r="Q70">
        <v>1</v>
      </c>
      <c r="W70">
        <v>0</v>
      </c>
      <c r="X70">
        <v>-1731369543</v>
      </c>
      <c r="Y70">
        <v>2.06</v>
      </c>
      <c r="AA70">
        <v>1</v>
      </c>
      <c r="AB70">
        <v>0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2.06</v>
      </c>
      <c r="AU70" t="s">
        <v>3</v>
      </c>
      <c r="AV70">
        <v>0</v>
      </c>
      <c r="AW70">
        <v>2</v>
      </c>
      <c r="AX70">
        <v>34748720</v>
      </c>
      <c r="AY70">
        <v>1</v>
      </c>
      <c r="AZ70">
        <v>0</v>
      </c>
      <c r="BA70">
        <v>72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Y70*Source!I32</f>
        <v>0.1648</v>
      </c>
      <c r="CY70">
        <f>AA70</f>
        <v>1</v>
      </c>
      <c r="CZ70">
        <f>AE70</f>
        <v>1</v>
      </c>
      <c r="DA70">
        <f>AI70</f>
        <v>1</v>
      </c>
      <c r="DB70">
        <f t="shared" si="16"/>
        <v>2.06</v>
      </c>
      <c r="DC70">
        <f t="shared" si="17"/>
        <v>0</v>
      </c>
      <c r="DH70">
        <f>Source!I32*SmtRes!Y70</f>
        <v>0.1648</v>
      </c>
      <c r="DI70">
        <f>AA70</f>
        <v>1</v>
      </c>
      <c r="DJ70">
        <f>EtalonRes!Y72</f>
        <v>1</v>
      </c>
      <c r="DK70">
        <f>Source!BC32</f>
        <v>1</v>
      </c>
      <c r="GQ70">
        <v>-1</v>
      </c>
      <c r="GR70">
        <v>-1</v>
      </c>
    </row>
    <row r="71" spans="1:200" x14ac:dyDescent="0.2">
      <c r="A71">
        <f>ROW(Source!A33)</f>
        <v>33</v>
      </c>
      <c r="B71">
        <v>34748540</v>
      </c>
      <c r="C71">
        <v>34748716</v>
      </c>
      <c r="D71">
        <v>31757860</v>
      </c>
      <c r="E71">
        <v>1</v>
      </c>
      <c r="F71">
        <v>1</v>
      </c>
      <c r="G71">
        <v>1</v>
      </c>
      <c r="H71">
        <v>1</v>
      </c>
      <c r="I71" t="s">
        <v>315</v>
      </c>
      <c r="J71" t="s">
        <v>3</v>
      </c>
      <c r="K71" t="s">
        <v>316</v>
      </c>
      <c r="L71">
        <v>1191</v>
      </c>
      <c r="N71">
        <v>1013</v>
      </c>
      <c r="O71" t="s">
        <v>227</v>
      </c>
      <c r="P71" t="s">
        <v>227</v>
      </c>
      <c r="Q71">
        <v>1</v>
      </c>
      <c r="W71">
        <v>0</v>
      </c>
      <c r="X71">
        <v>1446053411</v>
      </c>
      <c r="Y71">
        <v>9.27</v>
      </c>
      <c r="AA71">
        <v>0</v>
      </c>
      <c r="AB71">
        <v>0</v>
      </c>
      <c r="AC71">
        <v>0</v>
      </c>
      <c r="AD71">
        <v>138.63</v>
      </c>
      <c r="AE71">
        <v>0</v>
      </c>
      <c r="AF71">
        <v>0</v>
      </c>
      <c r="AG71">
        <v>0</v>
      </c>
      <c r="AH71">
        <v>11.09</v>
      </c>
      <c r="AI71">
        <v>1</v>
      </c>
      <c r="AJ71">
        <v>1</v>
      </c>
      <c r="AK71">
        <v>1</v>
      </c>
      <c r="AL71">
        <v>12.5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9.27</v>
      </c>
      <c r="AU71" t="s">
        <v>3</v>
      </c>
      <c r="AV71">
        <v>1</v>
      </c>
      <c r="AW71">
        <v>2</v>
      </c>
      <c r="AX71">
        <v>34748717</v>
      </c>
      <c r="AY71">
        <v>1</v>
      </c>
      <c r="AZ71">
        <v>0</v>
      </c>
      <c r="BA71">
        <v>73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Y71*Source!I33</f>
        <v>0.74159999999999993</v>
      </c>
      <c r="CY71">
        <f>AD71</f>
        <v>138.63</v>
      </c>
      <c r="CZ71">
        <f>AH71</f>
        <v>11.09</v>
      </c>
      <c r="DA71">
        <f>AL71</f>
        <v>12.5</v>
      </c>
      <c r="DB71">
        <f t="shared" si="16"/>
        <v>102.8</v>
      </c>
      <c r="DC71">
        <f t="shared" si="17"/>
        <v>0</v>
      </c>
      <c r="GQ71">
        <v>-1</v>
      </c>
      <c r="GR71">
        <v>-1</v>
      </c>
    </row>
    <row r="72" spans="1:200" x14ac:dyDescent="0.2">
      <c r="A72">
        <f>ROW(Source!A33)</f>
        <v>33</v>
      </c>
      <c r="B72">
        <v>34748540</v>
      </c>
      <c r="C72">
        <v>34748716</v>
      </c>
      <c r="D72">
        <v>31449933</v>
      </c>
      <c r="E72">
        <v>1</v>
      </c>
      <c r="F72">
        <v>1</v>
      </c>
      <c r="G72">
        <v>1</v>
      </c>
      <c r="H72">
        <v>3</v>
      </c>
      <c r="I72" t="s">
        <v>317</v>
      </c>
      <c r="J72" t="s">
        <v>318</v>
      </c>
      <c r="K72" t="s">
        <v>319</v>
      </c>
      <c r="L72">
        <v>1346</v>
      </c>
      <c r="N72">
        <v>1009</v>
      </c>
      <c r="O72" t="s">
        <v>239</v>
      </c>
      <c r="P72" t="s">
        <v>239</v>
      </c>
      <c r="Q72">
        <v>1</v>
      </c>
      <c r="W72">
        <v>0</v>
      </c>
      <c r="X72">
        <v>-731615568</v>
      </c>
      <c r="Y72">
        <v>0.2</v>
      </c>
      <c r="AA72">
        <v>288.63</v>
      </c>
      <c r="AB72">
        <v>0</v>
      </c>
      <c r="AC72">
        <v>0</v>
      </c>
      <c r="AD72">
        <v>0</v>
      </c>
      <c r="AE72">
        <v>23.09</v>
      </c>
      <c r="AF72">
        <v>0</v>
      </c>
      <c r="AG72">
        <v>0</v>
      </c>
      <c r="AH72">
        <v>0</v>
      </c>
      <c r="AI72">
        <v>12.5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0.2</v>
      </c>
      <c r="AU72" t="s">
        <v>3</v>
      </c>
      <c r="AV72">
        <v>0</v>
      </c>
      <c r="AW72">
        <v>2</v>
      </c>
      <c r="AX72">
        <v>34748718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Y72*Source!I33</f>
        <v>1.6E-2</v>
      </c>
      <c r="CY72">
        <f>AA72</f>
        <v>288.63</v>
      </c>
      <c r="CZ72">
        <f>AE72</f>
        <v>23.09</v>
      </c>
      <c r="DA72">
        <f>AI72</f>
        <v>12.5</v>
      </c>
      <c r="DB72">
        <f t="shared" si="16"/>
        <v>4.62</v>
      </c>
      <c r="DC72">
        <f t="shared" si="17"/>
        <v>0</v>
      </c>
      <c r="DH72">
        <f>Source!I33*SmtRes!Y72</f>
        <v>1.6E-2</v>
      </c>
      <c r="DI72">
        <f>AA72</f>
        <v>288.63</v>
      </c>
      <c r="DJ72">
        <f>EtalonRes!Y74</f>
        <v>23.09</v>
      </c>
      <c r="DK72">
        <f>Source!BC33</f>
        <v>12.5</v>
      </c>
      <c r="GQ72">
        <v>-1</v>
      </c>
      <c r="GR72">
        <v>-1</v>
      </c>
    </row>
    <row r="73" spans="1:200" x14ac:dyDescent="0.2">
      <c r="A73">
        <f>ROW(Source!A33)</f>
        <v>33</v>
      </c>
      <c r="B73">
        <v>34748540</v>
      </c>
      <c r="C73">
        <v>34748716</v>
      </c>
      <c r="D73">
        <v>31515411</v>
      </c>
      <c r="E73">
        <v>1</v>
      </c>
      <c r="F73">
        <v>1</v>
      </c>
      <c r="G73">
        <v>1</v>
      </c>
      <c r="H73">
        <v>3</v>
      </c>
      <c r="I73" t="s">
        <v>320</v>
      </c>
      <c r="J73" t="s">
        <v>321</v>
      </c>
      <c r="K73" t="s">
        <v>322</v>
      </c>
      <c r="L73">
        <v>1355</v>
      </c>
      <c r="N73">
        <v>1010</v>
      </c>
      <c r="O73" t="s">
        <v>250</v>
      </c>
      <c r="P73" t="s">
        <v>250</v>
      </c>
      <c r="Q73">
        <v>100</v>
      </c>
      <c r="W73">
        <v>0</v>
      </c>
      <c r="X73">
        <v>1924823676</v>
      </c>
      <c r="Y73">
        <v>0.25</v>
      </c>
      <c r="AA73">
        <v>384.25</v>
      </c>
      <c r="AB73">
        <v>0</v>
      </c>
      <c r="AC73">
        <v>0</v>
      </c>
      <c r="AD73">
        <v>0</v>
      </c>
      <c r="AE73">
        <v>30.74</v>
      </c>
      <c r="AF73">
        <v>0</v>
      </c>
      <c r="AG73">
        <v>0</v>
      </c>
      <c r="AH73">
        <v>0</v>
      </c>
      <c r="AI73">
        <v>12.5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0.25</v>
      </c>
      <c r="AU73" t="s">
        <v>3</v>
      </c>
      <c r="AV73">
        <v>0</v>
      </c>
      <c r="AW73">
        <v>2</v>
      </c>
      <c r="AX73">
        <v>34748719</v>
      </c>
      <c r="AY73">
        <v>1</v>
      </c>
      <c r="AZ73">
        <v>0</v>
      </c>
      <c r="BA73">
        <v>75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Y73*Source!I33</f>
        <v>0.02</v>
      </c>
      <c r="CY73">
        <f>AA73</f>
        <v>384.25</v>
      </c>
      <c r="CZ73">
        <f>AE73</f>
        <v>30.74</v>
      </c>
      <c r="DA73">
        <f>AI73</f>
        <v>12.5</v>
      </c>
      <c r="DB73">
        <f t="shared" si="16"/>
        <v>7.69</v>
      </c>
      <c r="DC73">
        <f t="shared" si="17"/>
        <v>0</v>
      </c>
      <c r="DH73">
        <f>Source!I33*SmtRes!Y73</f>
        <v>0.02</v>
      </c>
      <c r="DI73">
        <f>AA73</f>
        <v>384.25</v>
      </c>
      <c r="DJ73">
        <f>EtalonRes!Y75</f>
        <v>30.74</v>
      </c>
      <c r="DK73">
        <f>Source!BC33</f>
        <v>12.5</v>
      </c>
      <c r="GQ73">
        <v>-1</v>
      </c>
      <c r="GR73">
        <v>-1</v>
      </c>
    </row>
    <row r="74" spans="1:200" x14ac:dyDescent="0.2">
      <c r="A74">
        <f>ROW(Source!A33)</f>
        <v>33</v>
      </c>
      <c r="B74">
        <v>34748540</v>
      </c>
      <c r="C74">
        <v>34748716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298</v>
      </c>
      <c r="J74" t="s">
        <v>3</v>
      </c>
      <c r="K74" t="s">
        <v>299</v>
      </c>
      <c r="L74">
        <v>1374</v>
      </c>
      <c r="N74">
        <v>1013</v>
      </c>
      <c r="O74" t="s">
        <v>300</v>
      </c>
      <c r="P74" t="s">
        <v>300</v>
      </c>
      <c r="Q74">
        <v>1</v>
      </c>
      <c r="W74">
        <v>0</v>
      </c>
      <c r="X74">
        <v>-1731369543</v>
      </c>
      <c r="Y74">
        <v>2.06</v>
      </c>
      <c r="AA74">
        <v>12.5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0</v>
      </c>
      <c r="AH74">
        <v>0</v>
      </c>
      <c r="AI74">
        <v>12.5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2.06</v>
      </c>
      <c r="AU74" t="s">
        <v>3</v>
      </c>
      <c r="AV74">
        <v>0</v>
      </c>
      <c r="AW74">
        <v>2</v>
      </c>
      <c r="AX74">
        <v>34748720</v>
      </c>
      <c r="AY74">
        <v>1</v>
      </c>
      <c r="AZ74">
        <v>0</v>
      </c>
      <c r="BA74">
        <v>76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Y74*Source!I33</f>
        <v>0.1648</v>
      </c>
      <c r="CY74">
        <f>AA74</f>
        <v>12.5</v>
      </c>
      <c r="CZ74">
        <f>AE74</f>
        <v>1</v>
      </c>
      <c r="DA74">
        <f>AI74</f>
        <v>12.5</v>
      </c>
      <c r="DB74">
        <f t="shared" si="16"/>
        <v>2.06</v>
      </c>
      <c r="DC74">
        <f t="shared" si="17"/>
        <v>0</v>
      </c>
      <c r="DH74">
        <f>Source!I33*SmtRes!Y74</f>
        <v>0.1648</v>
      </c>
      <c r="DI74">
        <f>AA74</f>
        <v>12.5</v>
      </c>
      <c r="DJ74">
        <f>EtalonRes!Y76</f>
        <v>1</v>
      </c>
      <c r="DK74">
        <f>Source!BC33</f>
        <v>12.5</v>
      </c>
      <c r="GQ74">
        <v>-1</v>
      </c>
      <c r="GR74">
        <v>-1</v>
      </c>
    </row>
    <row r="75" spans="1:200" x14ac:dyDescent="0.2">
      <c r="A75">
        <f>ROW(Source!A34)</f>
        <v>34</v>
      </c>
      <c r="B75">
        <v>34748518</v>
      </c>
      <c r="C75">
        <v>34748723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323</v>
      </c>
      <c r="J75" t="s">
        <v>3</v>
      </c>
      <c r="K75" t="s">
        <v>324</v>
      </c>
      <c r="L75">
        <v>1191</v>
      </c>
      <c r="N75">
        <v>1013</v>
      </c>
      <c r="O75" t="s">
        <v>227</v>
      </c>
      <c r="P75" t="s">
        <v>227</v>
      </c>
      <c r="Q75">
        <v>1</v>
      </c>
      <c r="W75">
        <v>0</v>
      </c>
      <c r="X75">
        <v>1069510174</v>
      </c>
      <c r="Y75">
        <v>9.6</v>
      </c>
      <c r="AA75">
        <v>0</v>
      </c>
      <c r="AB75">
        <v>0</v>
      </c>
      <c r="AC75">
        <v>0</v>
      </c>
      <c r="AD75">
        <v>9.6199999999999992</v>
      </c>
      <c r="AE75">
        <v>0</v>
      </c>
      <c r="AF75">
        <v>0</v>
      </c>
      <c r="AG75">
        <v>0</v>
      </c>
      <c r="AH75">
        <v>9.6199999999999992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9.6</v>
      </c>
      <c r="AU75" t="s">
        <v>3</v>
      </c>
      <c r="AV75">
        <v>1</v>
      </c>
      <c r="AW75">
        <v>2</v>
      </c>
      <c r="AX75">
        <v>34748724</v>
      </c>
      <c r="AY75">
        <v>1</v>
      </c>
      <c r="AZ75">
        <v>0</v>
      </c>
      <c r="BA75">
        <v>77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Y75*Source!I34</f>
        <v>3.456</v>
      </c>
      <c r="CY75">
        <f>AD75</f>
        <v>9.6199999999999992</v>
      </c>
      <c r="CZ75">
        <f>AH75</f>
        <v>9.6199999999999992</v>
      </c>
      <c r="DA75">
        <f>AL75</f>
        <v>1</v>
      </c>
      <c r="DB75">
        <f t="shared" si="16"/>
        <v>92.35</v>
      </c>
      <c r="DC75">
        <f t="shared" si="17"/>
        <v>0</v>
      </c>
      <c r="GQ75">
        <v>-1</v>
      </c>
      <c r="GR75">
        <v>-1</v>
      </c>
    </row>
    <row r="76" spans="1:200" x14ac:dyDescent="0.2">
      <c r="A76">
        <f>ROW(Source!A34)</f>
        <v>34</v>
      </c>
      <c r="B76">
        <v>34748518</v>
      </c>
      <c r="C76">
        <v>34748723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298</v>
      </c>
      <c r="J76" t="s">
        <v>3</v>
      </c>
      <c r="K76" t="s">
        <v>299</v>
      </c>
      <c r="L76">
        <v>1374</v>
      </c>
      <c r="N76">
        <v>1013</v>
      </c>
      <c r="O76" t="s">
        <v>300</v>
      </c>
      <c r="P76" t="s">
        <v>300</v>
      </c>
      <c r="Q76">
        <v>1</v>
      </c>
      <c r="W76">
        <v>0</v>
      </c>
      <c r="X76">
        <v>-1731369543</v>
      </c>
      <c r="Y76">
        <v>1.85</v>
      </c>
      <c r="AA76">
        <v>1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1.85</v>
      </c>
      <c r="AU76" t="s">
        <v>3</v>
      </c>
      <c r="AV76">
        <v>0</v>
      </c>
      <c r="AW76">
        <v>2</v>
      </c>
      <c r="AX76">
        <v>34748725</v>
      </c>
      <c r="AY76">
        <v>1</v>
      </c>
      <c r="AZ76">
        <v>0</v>
      </c>
      <c r="BA76">
        <v>78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Y76*Source!I34</f>
        <v>0.66600000000000004</v>
      </c>
      <c r="CY76">
        <f>AA76</f>
        <v>1</v>
      </c>
      <c r="CZ76">
        <f>AE76</f>
        <v>1</v>
      </c>
      <c r="DA76">
        <f>AI76</f>
        <v>1</v>
      </c>
      <c r="DB76">
        <f t="shared" si="16"/>
        <v>1.85</v>
      </c>
      <c r="DC76">
        <f t="shared" si="17"/>
        <v>0</v>
      </c>
      <c r="DH76">
        <f>Source!I34*SmtRes!Y76</f>
        <v>0.66600000000000004</v>
      </c>
      <c r="DI76">
        <f>AA76</f>
        <v>1</v>
      </c>
      <c r="DJ76">
        <f>EtalonRes!Y78</f>
        <v>1</v>
      </c>
      <c r="DK76">
        <f>Source!BC34</f>
        <v>1</v>
      </c>
      <c r="GQ76">
        <v>-1</v>
      </c>
      <c r="GR76">
        <v>-1</v>
      </c>
    </row>
    <row r="77" spans="1:200" x14ac:dyDescent="0.2">
      <c r="A77">
        <f>ROW(Source!A35)</f>
        <v>35</v>
      </c>
      <c r="B77">
        <v>34748540</v>
      </c>
      <c r="C77">
        <v>34748723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323</v>
      </c>
      <c r="J77" t="s">
        <v>3</v>
      </c>
      <c r="K77" t="s">
        <v>324</v>
      </c>
      <c r="L77">
        <v>1191</v>
      </c>
      <c r="N77">
        <v>1013</v>
      </c>
      <c r="O77" t="s">
        <v>227</v>
      </c>
      <c r="P77" t="s">
        <v>227</v>
      </c>
      <c r="Q77">
        <v>1</v>
      </c>
      <c r="W77">
        <v>0</v>
      </c>
      <c r="X77">
        <v>1069510174</v>
      </c>
      <c r="Y77">
        <v>9.6</v>
      </c>
      <c r="AA77">
        <v>0</v>
      </c>
      <c r="AB77">
        <v>0</v>
      </c>
      <c r="AC77">
        <v>0</v>
      </c>
      <c r="AD77">
        <v>120.25</v>
      </c>
      <c r="AE77">
        <v>0</v>
      </c>
      <c r="AF77">
        <v>0</v>
      </c>
      <c r="AG77">
        <v>0</v>
      </c>
      <c r="AH77">
        <v>9.6199999999999992</v>
      </c>
      <c r="AI77">
        <v>1</v>
      </c>
      <c r="AJ77">
        <v>1</v>
      </c>
      <c r="AK77">
        <v>1</v>
      </c>
      <c r="AL77">
        <v>12.5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9.6</v>
      </c>
      <c r="AU77" t="s">
        <v>3</v>
      </c>
      <c r="AV77">
        <v>1</v>
      </c>
      <c r="AW77">
        <v>2</v>
      </c>
      <c r="AX77">
        <v>34748724</v>
      </c>
      <c r="AY77">
        <v>1</v>
      </c>
      <c r="AZ77">
        <v>0</v>
      </c>
      <c r="BA77">
        <v>79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Y77*Source!I35</f>
        <v>3.456</v>
      </c>
      <c r="CY77">
        <f>AD77</f>
        <v>120.25</v>
      </c>
      <c r="CZ77">
        <f>AH77</f>
        <v>9.6199999999999992</v>
      </c>
      <c r="DA77">
        <f>AL77</f>
        <v>12.5</v>
      </c>
      <c r="DB77">
        <f t="shared" si="16"/>
        <v>92.35</v>
      </c>
      <c r="DC77">
        <f t="shared" si="17"/>
        <v>0</v>
      </c>
      <c r="GQ77">
        <v>-1</v>
      </c>
      <c r="GR77">
        <v>-1</v>
      </c>
    </row>
    <row r="78" spans="1:200" x14ac:dyDescent="0.2">
      <c r="A78">
        <f>ROW(Source!A35)</f>
        <v>35</v>
      </c>
      <c r="B78">
        <v>34748540</v>
      </c>
      <c r="C78">
        <v>34748723</v>
      </c>
      <c r="D78">
        <v>31443668</v>
      </c>
      <c r="E78">
        <v>17</v>
      </c>
      <c r="F78">
        <v>1</v>
      </c>
      <c r="G78">
        <v>1</v>
      </c>
      <c r="H78">
        <v>3</v>
      </c>
      <c r="I78" t="s">
        <v>298</v>
      </c>
      <c r="J78" t="s">
        <v>3</v>
      </c>
      <c r="K78" t="s">
        <v>299</v>
      </c>
      <c r="L78">
        <v>1374</v>
      </c>
      <c r="N78">
        <v>1013</v>
      </c>
      <c r="O78" t="s">
        <v>300</v>
      </c>
      <c r="P78" t="s">
        <v>300</v>
      </c>
      <c r="Q78">
        <v>1</v>
      </c>
      <c r="W78">
        <v>0</v>
      </c>
      <c r="X78">
        <v>-1731369543</v>
      </c>
      <c r="Y78">
        <v>1.85</v>
      </c>
      <c r="AA78">
        <v>12.5</v>
      </c>
      <c r="AB78">
        <v>0</v>
      </c>
      <c r="AC78">
        <v>0</v>
      </c>
      <c r="AD78">
        <v>0</v>
      </c>
      <c r="AE78">
        <v>1</v>
      </c>
      <c r="AF78">
        <v>0</v>
      </c>
      <c r="AG78">
        <v>0</v>
      </c>
      <c r="AH78">
        <v>0</v>
      </c>
      <c r="AI78">
        <v>12.5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1.85</v>
      </c>
      <c r="AU78" t="s">
        <v>3</v>
      </c>
      <c r="AV78">
        <v>0</v>
      </c>
      <c r="AW78">
        <v>2</v>
      </c>
      <c r="AX78">
        <v>34748725</v>
      </c>
      <c r="AY78">
        <v>1</v>
      </c>
      <c r="AZ78">
        <v>0</v>
      </c>
      <c r="BA78">
        <v>80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Y78*Source!I35</f>
        <v>0.66600000000000004</v>
      </c>
      <c r="CY78">
        <f>AA78</f>
        <v>12.5</v>
      </c>
      <c r="CZ78">
        <f>AE78</f>
        <v>1</v>
      </c>
      <c r="DA78">
        <f>AI78</f>
        <v>12.5</v>
      </c>
      <c r="DB78">
        <f t="shared" si="16"/>
        <v>1.85</v>
      </c>
      <c r="DC78">
        <f t="shared" si="17"/>
        <v>0</v>
      </c>
      <c r="DH78">
        <f>Source!I35*SmtRes!Y78</f>
        <v>0.66600000000000004</v>
      </c>
      <c r="DI78">
        <f>AA78</f>
        <v>12.5</v>
      </c>
      <c r="DJ78">
        <f>EtalonRes!Y80</f>
        <v>1</v>
      </c>
      <c r="DK78">
        <f>Source!BC35</f>
        <v>12.5</v>
      </c>
      <c r="GQ78">
        <v>-1</v>
      </c>
      <c r="GR78">
        <v>-1</v>
      </c>
    </row>
    <row r="79" spans="1:200" x14ac:dyDescent="0.2">
      <c r="A79">
        <f>ROW(Source!A36)</f>
        <v>36</v>
      </c>
      <c r="B79">
        <v>34748518</v>
      </c>
      <c r="C79">
        <v>34748728</v>
      </c>
      <c r="D79">
        <v>31709544</v>
      </c>
      <c r="E79">
        <v>1</v>
      </c>
      <c r="F79">
        <v>1</v>
      </c>
      <c r="G79">
        <v>1</v>
      </c>
      <c r="H79">
        <v>1</v>
      </c>
      <c r="I79" t="s">
        <v>325</v>
      </c>
      <c r="J79" t="s">
        <v>3</v>
      </c>
      <c r="K79" t="s">
        <v>326</v>
      </c>
      <c r="L79">
        <v>1191</v>
      </c>
      <c r="N79">
        <v>1013</v>
      </c>
      <c r="O79" t="s">
        <v>227</v>
      </c>
      <c r="P79" t="s">
        <v>227</v>
      </c>
      <c r="Q79">
        <v>1</v>
      </c>
      <c r="W79">
        <v>0</v>
      </c>
      <c r="X79">
        <v>145020957</v>
      </c>
      <c r="Y79">
        <v>42.5</v>
      </c>
      <c r="AA79">
        <v>0</v>
      </c>
      <c r="AB79">
        <v>0</v>
      </c>
      <c r="AC79">
        <v>0</v>
      </c>
      <c r="AD79">
        <v>9.07</v>
      </c>
      <c r="AE79">
        <v>0</v>
      </c>
      <c r="AF79">
        <v>0</v>
      </c>
      <c r="AG79">
        <v>0</v>
      </c>
      <c r="AH79">
        <v>9.07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42.5</v>
      </c>
      <c r="AU79" t="s">
        <v>3</v>
      </c>
      <c r="AV79">
        <v>1</v>
      </c>
      <c r="AW79">
        <v>2</v>
      </c>
      <c r="AX79">
        <v>34748729</v>
      </c>
      <c r="AY79">
        <v>1</v>
      </c>
      <c r="AZ79">
        <v>0</v>
      </c>
      <c r="BA79">
        <v>81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Y79*Source!I36</f>
        <v>4.25</v>
      </c>
      <c r="CY79">
        <f>AD79</f>
        <v>9.07</v>
      </c>
      <c r="CZ79">
        <f>AH79</f>
        <v>9.07</v>
      </c>
      <c r="DA79">
        <f>AL79</f>
        <v>1</v>
      </c>
      <c r="DB79">
        <f t="shared" si="16"/>
        <v>385.48</v>
      </c>
      <c r="DC79">
        <f t="shared" si="17"/>
        <v>0</v>
      </c>
      <c r="GQ79">
        <v>-1</v>
      </c>
      <c r="GR79">
        <v>-1</v>
      </c>
    </row>
    <row r="80" spans="1:200" x14ac:dyDescent="0.2">
      <c r="A80">
        <f>ROW(Source!A36)</f>
        <v>36</v>
      </c>
      <c r="B80">
        <v>34748518</v>
      </c>
      <c r="C80">
        <v>34748728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230</v>
      </c>
      <c r="J80" t="s">
        <v>3</v>
      </c>
      <c r="K80" t="s">
        <v>231</v>
      </c>
      <c r="L80">
        <v>1191</v>
      </c>
      <c r="N80">
        <v>1013</v>
      </c>
      <c r="O80" t="s">
        <v>227</v>
      </c>
      <c r="P80" t="s">
        <v>227</v>
      </c>
      <c r="Q80">
        <v>1</v>
      </c>
      <c r="W80">
        <v>0</v>
      </c>
      <c r="X80">
        <v>-1417349443</v>
      </c>
      <c r="Y80">
        <v>1.74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1.74</v>
      </c>
      <c r="AU80" t="s">
        <v>3</v>
      </c>
      <c r="AV80">
        <v>2</v>
      </c>
      <c r="AW80">
        <v>2</v>
      </c>
      <c r="AX80">
        <v>34748730</v>
      </c>
      <c r="AY80">
        <v>1</v>
      </c>
      <c r="AZ80">
        <v>0</v>
      </c>
      <c r="BA80">
        <v>82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Y80*Source!I36</f>
        <v>0.17400000000000002</v>
      </c>
      <c r="CY80">
        <f>AD80</f>
        <v>0</v>
      </c>
      <c r="CZ80">
        <f>AH80</f>
        <v>0</v>
      </c>
      <c r="DA80">
        <f>AL80</f>
        <v>1</v>
      </c>
      <c r="DB80">
        <f t="shared" si="16"/>
        <v>0</v>
      </c>
      <c r="DC80">
        <f t="shared" si="17"/>
        <v>0</v>
      </c>
      <c r="GQ80">
        <v>-1</v>
      </c>
      <c r="GR80">
        <v>-1</v>
      </c>
    </row>
    <row r="81" spans="1:200" x14ac:dyDescent="0.2">
      <c r="A81">
        <f>ROW(Source!A36)</f>
        <v>36</v>
      </c>
      <c r="B81">
        <v>34748518</v>
      </c>
      <c r="C81">
        <v>34748728</v>
      </c>
      <c r="D81">
        <v>31526978</v>
      </c>
      <c r="E81">
        <v>1</v>
      </c>
      <c r="F81">
        <v>1</v>
      </c>
      <c r="G81">
        <v>1</v>
      </c>
      <c r="H81">
        <v>2</v>
      </c>
      <c r="I81" t="s">
        <v>327</v>
      </c>
      <c r="J81" t="s">
        <v>328</v>
      </c>
      <c r="K81" t="s">
        <v>329</v>
      </c>
      <c r="L81">
        <v>1368</v>
      </c>
      <c r="N81">
        <v>1011</v>
      </c>
      <c r="O81" t="s">
        <v>235</v>
      </c>
      <c r="P81" t="s">
        <v>235</v>
      </c>
      <c r="Q81">
        <v>1</v>
      </c>
      <c r="W81">
        <v>0</v>
      </c>
      <c r="X81">
        <v>1225731627</v>
      </c>
      <c r="Y81">
        <v>1.74</v>
      </c>
      <c r="AA81">
        <v>0</v>
      </c>
      <c r="AB81">
        <v>89.99</v>
      </c>
      <c r="AC81">
        <v>10.06</v>
      </c>
      <c r="AD81">
        <v>0</v>
      </c>
      <c r="AE81">
        <v>0</v>
      </c>
      <c r="AF81">
        <v>89.99</v>
      </c>
      <c r="AG81">
        <v>10.06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1.74</v>
      </c>
      <c r="AU81" t="s">
        <v>3</v>
      </c>
      <c r="AV81">
        <v>0</v>
      </c>
      <c r="AW81">
        <v>2</v>
      </c>
      <c r="AX81">
        <v>34748731</v>
      </c>
      <c r="AY81">
        <v>1</v>
      </c>
      <c r="AZ81">
        <v>0</v>
      </c>
      <c r="BA81">
        <v>83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Y81*Source!I36</f>
        <v>0.17400000000000002</v>
      </c>
      <c r="CY81">
        <f>AB81</f>
        <v>89.99</v>
      </c>
      <c r="CZ81">
        <f>AF81</f>
        <v>89.99</v>
      </c>
      <c r="DA81">
        <f>AJ81</f>
        <v>1</v>
      </c>
      <c r="DB81">
        <f t="shared" si="16"/>
        <v>156.58000000000001</v>
      </c>
      <c r="DC81">
        <f t="shared" si="17"/>
        <v>17.5</v>
      </c>
      <c r="GQ81">
        <v>-1</v>
      </c>
      <c r="GR81">
        <v>-1</v>
      </c>
    </row>
    <row r="82" spans="1:200" x14ac:dyDescent="0.2">
      <c r="A82">
        <f>ROW(Source!A36)</f>
        <v>36</v>
      </c>
      <c r="B82">
        <v>34748518</v>
      </c>
      <c r="C82">
        <v>34748728</v>
      </c>
      <c r="D82">
        <v>31449550</v>
      </c>
      <c r="E82">
        <v>1</v>
      </c>
      <c r="F82">
        <v>1</v>
      </c>
      <c r="G82">
        <v>1</v>
      </c>
      <c r="H82">
        <v>3</v>
      </c>
      <c r="I82" t="s">
        <v>330</v>
      </c>
      <c r="J82" t="s">
        <v>331</v>
      </c>
      <c r="K82" t="s">
        <v>332</v>
      </c>
      <c r="L82">
        <v>1348</v>
      </c>
      <c r="N82">
        <v>1009</v>
      </c>
      <c r="O82" t="s">
        <v>288</v>
      </c>
      <c r="P82" t="s">
        <v>288</v>
      </c>
      <c r="Q82">
        <v>1000</v>
      </c>
      <c r="W82">
        <v>0</v>
      </c>
      <c r="X82">
        <v>-775356503</v>
      </c>
      <c r="Y82">
        <v>1.39E-3</v>
      </c>
      <c r="AA82">
        <v>12430</v>
      </c>
      <c r="AB82">
        <v>0</v>
      </c>
      <c r="AC82">
        <v>0</v>
      </c>
      <c r="AD82">
        <v>0</v>
      </c>
      <c r="AE82">
        <v>12430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1.39E-3</v>
      </c>
      <c r="AU82" t="s">
        <v>3</v>
      </c>
      <c r="AV82">
        <v>0</v>
      </c>
      <c r="AW82">
        <v>2</v>
      </c>
      <c r="AX82">
        <v>34748732</v>
      </c>
      <c r="AY82">
        <v>1</v>
      </c>
      <c r="AZ82">
        <v>0</v>
      </c>
      <c r="BA82">
        <v>84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Y82*Source!I36</f>
        <v>1.3899999999999999E-4</v>
      </c>
      <c r="CY82">
        <f>AA82</f>
        <v>12430</v>
      </c>
      <c r="CZ82">
        <f>AE82</f>
        <v>12430</v>
      </c>
      <c r="DA82">
        <f>AI82</f>
        <v>1</v>
      </c>
      <c r="DB82">
        <f t="shared" si="16"/>
        <v>17.28</v>
      </c>
      <c r="DC82">
        <f t="shared" si="17"/>
        <v>0</v>
      </c>
      <c r="DH82">
        <f>Source!I36*SmtRes!Y82</f>
        <v>1.3899999999999999E-4</v>
      </c>
      <c r="DI82">
        <f>AA82</f>
        <v>12430</v>
      </c>
      <c r="DJ82">
        <f>EtalonRes!Y84</f>
        <v>12430</v>
      </c>
      <c r="DK82">
        <f>Source!BC36</f>
        <v>1</v>
      </c>
      <c r="GQ82">
        <v>-1</v>
      </c>
      <c r="GR82">
        <v>-1</v>
      </c>
    </row>
    <row r="83" spans="1:200" x14ac:dyDescent="0.2">
      <c r="A83">
        <f>ROW(Source!A36)</f>
        <v>36</v>
      </c>
      <c r="B83">
        <v>34748518</v>
      </c>
      <c r="C83">
        <v>34748728</v>
      </c>
      <c r="D83">
        <v>31451091</v>
      </c>
      <c r="E83">
        <v>1</v>
      </c>
      <c r="F83">
        <v>1</v>
      </c>
      <c r="G83">
        <v>1</v>
      </c>
      <c r="H83">
        <v>3</v>
      </c>
      <c r="I83" t="s">
        <v>333</v>
      </c>
      <c r="J83" t="s">
        <v>334</v>
      </c>
      <c r="K83" t="s">
        <v>335</v>
      </c>
      <c r="L83">
        <v>1348</v>
      </c>
      <c r="N83">
        <v>1009</v>
      </c>
      <c r="O83" t="s">
        <v>288</v>
      </c>
      <c r="P83" t="s">
        <v>288</v>
      </c>
      <c r="Q83">
        <v>1000</v>
      </c>
      <c r="W83">
        <v>0</v>
      </c>
      <c r="X83">
        <v>-1421715385</v>
      </c>
      <c r="Y83">
        <v>3.3E-3</v>
      </c>
      <c r="AA83">
        <v>729.98</v>
      </c>
      <c r="AB83">
        <v>0</v>
      </c>
      <c r="AC83">
        <v>0</v>
      </c>
      <c r="AD83">
        <v>0</v>
      </c>
      <c r="AE83">
        <v>729.98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3.3E-3</v>
      </c>
      <c r="AU83" t="s">
        <v>3</v>
      </c>
      <c r="AV83">
        <v>0</v>
      </c>
      <c r="AW83">
        <v>2</v>
      </c>
      <c r="AX83">
        <v>34748733</v>
      </c>
      <c r="AY83">
        <v>1</v>
      </c>
      <c r="AZ83">
        <v>0</v>
      </c>
      <c r="BA83">
        <v>85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Y83*Source!I36</f>
        <v>3.3E-4</v>
      </c>
      <c r="CY83">
        <f>AA83</f>
        <v>729.98</v>
      </c>
      <c r="CZ83">
        <f>AE83</f>
        <v>729.98</v>
      </c>
      <c r="DA83">
        <f>AI83</f>
        <v>1</v>
      </c>
      <c r="DB83">
        <f t="shared" si="16"/>
        <v>2.41</v>
      </c>
      <c r="DC83">
        <f t="shared" si="17"/>
        <v>0</v>
      </c>
      <c r="DH83">
        <f>Source!I36*SmtRes!Y83</f>
        <v>3.3E-4</v>
      </c>
      <c r="DI83">
        <f>AA83</f>
        <v>729.98</v>
      </c>
      <c r="DJ83">
        <f>EtalonRes!Y85</f>
        <v>729.98</v>
      </c>
      <c r="DK83">
        <f>Source!BC36</f>
        <v>1</v>
      </c>
      <c r="GQ83">
        <v>-1</v>
      </c>
      <c r="GR83">
        <v>-1</v>
      </c>
    </row>
    <row r="84" spans="1:200" x14ac:dyDescent="0.2">
      <c r="A84">
        <f>ROW(Source!A36)</f>
        <v>36</v>
      </c>
      <c r="B84">
        <v>34748518</v>
      </c>
      <c r="C84">
        <v>34748728</v>
      </c>
      <c r="D84">
        <v>31470212</v>
      </c>
      <c r="E84">
        <v>1</v>
      </c>
      <c r="F84">
        <v>1</v>
      </c>
      <c r="G84">
        <v>1</v>
      </c>
      <c r="H84">
        <v>3</v>
      </c>
      <c r="I84" t="s">
        <v>336</v>
      </c>
      <c r="J84" t="s">
        <v>337</v>
      </c>
      <c r="K84" t="s">
        <v>338</v>
      </c>
      <c r="L84">
        <v>1348</v>
      </c>
      <c r="N84">
        <v>1009</v>
      </c>
      <c r="O84" t="s">
        <v>288</v>
      </c>
      <c r="P84" t="s">
        <v>288</v>
      </c>
      <c r="Q84">
        <v>1000</v>
      </c>
      <c r="W84">
        <v>0</v>
      </c>
      <c r="X84">
        <v>-480376383</v>
      </c>
      <c r="Y84">
        <v>3.6000000000000002E-4</v>
      </c>
      <c r="AA84">
        <v>10200</v>
      </c>
      <c r="AB84">
        <v>0</v>
      </c>
      <c r="AC84">
        <v>0</v>
      </c>
      <c r="AD84">
        <v>0</v>
      </c>
      <c r="AE84">
        <v>10200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3.6000000000000002E-4</v>
      </c>
      <c r="AU84" t="s">
        <v>3</v>
      </c>
      <c r="AV84">
        <v>0</v>
      </c>
      <c r="AW84">
        <v>2</v>
      </c>
      <c r="AX84">
        <v>34748734</v>
      </c>
      <c r="AY84">
        <v>1</v>
      </c>
      <c r="AZ84">
        <v>0</v>
      </c>
      <c r="BA84">
        <v>86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Y84*Source!I36</f>
        <v>3.6000000000000001E-5</v>
      </c>
      <c r="CY84">
        <f>AA84</f>
        <v>10200</v>
      </c>
      <c r="CZ84">
        <f>AE84</f>
        <v>10200</v>
      </c>
      <c r="DA84">
        <f>AI84</f>
        <v>1</v>
      </c>
      <c r="DB84">
        <f t="shared" si="16"/>
        <v>3.67</v>
      </c>
      <c r="DC84">
        <f t="shared" si="17"/>
        <v>0</v>
      </c>
      <c r="DH84">
        <f>Source!I36*SmtRes!Y84</f>
        <v>3.6000000000000001E-5</v>
      </c>
      <c r="DI84">
        <f>AA84</f>
        <v>10200</v>
      </c>
      <c r="DJ84">
        <f>EtalonRes!Y86</f>
        <v>10200</v>
      </c>
      <c r="DK84">
        <f>Source!BC36</f>
        <v>1</v>
      </c>
      <c r="GQ84">
        <v>-1</v>
      </c>
      <c r="GR84">
        <v>-1</v>
      </c>
    </row>
    <row r="85" spans="1:200" x14ac:dyDescent="0.2">
      <c r="A85">
        <f>ROW(Source!A36)</f>
        <v>36</v>
      </c>
      <c r="B85">
        <v>34748518</v>
      </c>
      <c r="C85">
        <v>34748728</v>
      </c>
      <c r="D85">
        <v>31505175</v>
      </c>
      <c r="E85">
        <v>1</v>
      </c>
      <c r="F85">
        <v>1</v>
      </c>
      <c r="G85">
        <v>1</v>
      </c>
      <c r="H85">
        <v>3</v>
      </c>
      <c r="I85" t="s">
        <v>339</v>
      </c>
      <c r="J85" t="s">
        <v>340</v>
      </c>
      <c r="K85" t="s">
        <v>341</v>
      </c>
      <c r="L85">
        <v>1355</v>
      </c>
      <c r="N85">
        <v>1010</v>
      </c>
      <c r="O85" t="s">
        <v>250</v>
      </c>
      <c r="P85" t="s">
        <v>250</v>
      </c>
      <c r="Q85">
        <v>100</v>
      </c>
      <c r="W85">
        <v>0</v>
      </c>
      <c r="X85">
        <v>-1886339978</v>
      </c>
      <c r="Y85">
        <v>3.12</v>
      </c>
      <c r="AA85">
        <v>155.74</v>
      </c>
      <c r="AB85">
        <v>0</v>
      </c>
      <c r="AC85">
        <v>0</v>
      </c>
      <c r="AD85">
        <v>0</v>
      </c>
      <c r="AE85">
        <v>155.74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3.12</v>
      </c>
      <c r="AU85" t="s">
        <v>3</v>
      </c>
      <c r="AV85">
        <v>0</v>
      </c>
      <c r="AW85">
        <v>2</v>
      </c>
      <c r="AX85">
        <v>34748735</v>
      </c>
      <c r="AY85">
        <v>1</v>
      </c>
      <c r="AZ85">
        <v>0</v>
      </c>
      <c r="BA85">
        <v>87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Y85*Source!I36</f>
        <v>0.31200000000000006</v>
      </c>
      <c r="CY85">
        <f>AA85</f>
        <v>155.74</v>
      </c>
      <c r="CZ85">
        <f>AE85</f>
        <v>155.74</v>
      </c>
      <c r="DA85">
        <f>AI85</f>
        <v>1</v>
      </c>
      <c r="DB85">
        <f t="shared" si="16"/>
        <v>485.91</v>
      </c>
      <c r="DC85">
        <f t="shared" si="17"/>
        <v>0</v>
      </c>
      <c r="DH85">
        <f>Source!I36*SmtRes!Y85</f>
        <v>0.31200000000000006</v>
      </c>
      <c r="DI85">
        <f>AA85</f>
        <v>155.74</v>
      </c>
      <c r="DJ85">
        <f>EtalonRes!Y87</f>
        <v>155.74</v>
      </c>
      <c r="DK85">
        <f>Source!BC36</f>
        <v>1</v>
      </c>
      <c r="GQ85">
        <v>-1</v>
      </c>
      <c r="GR85">
        <v>-1</v>
      </c>
    </row>
    <row r="86" spans="1:200" x14ac:dyDescent="0.2">
      <c r="A86">
        <f>ROW(Source!A36)</f>
        <v>36</v>
      </c>
      <c r="B86">
        <v>34748518</v>
      </c>
      <c r="C86">
        <v>34748728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298</v>
      </c>
      <c r="J86" t="s">
        <v>3</v>
      </c>
      <c r="K86" t="s">
        <v>299</v>
      </c>
      <c r="L86">
        <v>1374</v>
      </c>
      <c r="N86">
        <v>1013</v>
      </c>
      <c r="O86" t="s">
        <v>300</v>
      </c>
      <c r="P86" t="s">
        <v>300</v>
      </c>
      <c r="Q86">
        <v>1</v>
      </c>
      <c r="W86">
        <v>0</v>
      </c>
      <c r="X86">
        <v>-1731369543</v>
      </c>
      <c r="Y86">
        <v>7.71</v>
      </c>
      <c r="AA86">
        <v>1</v>
      </c>
      <c r="AB86">
        <v>0</v>
      </c>
      <c r="AC86">
        <v>0</v>
      </c>
      <c r="AD86">
        <v>0</v>
      </c>
      <c r="AE86">
        <v>1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7.71</v>
      </c>
      <c r="AU86" t="s">
        <v>3</v>
      </c>
      <c r="AV86">
        <v>0</v>
      </c>
      <c r="AW86">
        <v>2</v>
      </c>
      <c r="AX86">
        <v>34748736</v>
      </c>
      <c r="AY86">
        <v>1</v>
      </c>
      <c r="AZ86">
        <v>0</v>
      </c>
      <c r="BA86">
        <v>88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Y86*Source!I36</f>
        <v>0.77100000000000002</v>
      </c>
      <c r="CY86">
        <f>AA86</f>
        <v>1</v>
      </c>
      <c r="CZ86">
        <f>AE86</f>
        <v>1</v>
      </c>
      <c r="DA86">
        <f>AI86</f>
        <v>1</v>
      </c>
      <c r="DB86">
        <f t="shared" si="16"/>
        <v>7.71</v>
      </c>
      <c r="DC86">
        <f t="shared" si="17"/>
        <v>0</v>
      </c>
      <c r="DH86">
        <f>Source!I36*SmtRes!Y86</f>
        <v>0.77100000000000002</v>
      </c>
      <c r="DI86">
        <f>AA86</f>
        <v>1</v>
      </c>
      <c r="DJ86">
        <f>EtalonRes!Y88</f>
        <v>1</v>
      </c>
      <c r="DK86">
        <f>Source!BC36</f>
        <v>1</v>
      </c>
      <c r="GQ86">
        <v>-1</v>
      </c>
      <c r="GR86">
        <v>-1</v>
      </c>
    </row>
    <row r="87" spans="1:200" x14ac:dyDescent="0.2">
      <c r="A87">
        <f>ROW(Source!A37)</f>
        <v>37</v>
      </c>
      <c r="B87">
        <v>34748540</v>
      </c>
      <c r="C87">
        <v>34748728</v>
      </c>
      <c r="D87">
        <v>31709544</v>
      </c>
      <c r="E87">
        <v>1</v>
      </c>
      <c r="F87">
        <v>1</v>
      </c>
      <c r="G87">
        <v>1</v>
      </c>
      <c r="H87">
        <v>1</v>
      </c>
      <c r="I87" t="s">
        <v>325</v>
      </c>
      <c r="J87" t="s">
        <v>3</v>
      </c>
      <c r="K87" t="s">
        <v>326</v>
      </c>
      <c r="L87">
        <v>1191</v>
      </c>
      <c r="N87">
        <v>1013</v>
      </c>
      <c r="O87" t="s">
        <v>227</v>
      </c>
      <c r="P87" t="s">
        <v>227</v>
      </c>
      <c r="Q87">
        <v>1</v>
      </c>
      <c r="W87">
        <v>0</v>
      </c>
      <c r="X87">
        <v>145020957</v>
      </c>
      <c r="Y87">
        <v>42.5</v>
      </c>
      <c r="AA87">
        <v>0</v>
      </c>
      <c r="AB87">
        <v>0</v>
      </c>
      <c r="AC87">
        <v>0</v>
      </c>
      <c r="AD87">
        <v>113.38</v>
      </c>
      <c r="AE87">
        <v>0</v>
      </c>
      <c r="AF87">
        <v>0</v>
      </c>
      <c r="AG87">
        <v>0</v>
      </c>
      <c r="AH87">
        <v>9.07</v>
      </c>
      <c r="AI87">
        <v>1</v>
      </c>
      <c r="AJ87">
        <v>1</v>
      </c>
      <c r="AK87">
        <v>1</v>
      </c>
      <c r="AL87">
        <v>12.5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42.5</v>
      </c>
      <c r="AU87" t="s">
        <v>3</v>
      </c>
      <c r="AV87">
        <v>1</v>
      </c>
      <c r="AW87">
        <v>2</v>
      </c>
      <c r="AX87">
        <v>34748729</v>
      </c>
      <c r="AY87">
        <v>1</v>
      </c>
      <c r="AZ87">
        <v>0</v>
      </c>
      <c r="BA87">
        <v>89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Y87*Source!I37</f>
        <v>4.25</v>
      </c>
      <c r="CY87">
        <f>AD87</f>
        <v>113.38</v>
      </c>
      <c r="CZ87">
        <f>AH87</f>
        <v>9.07</v>
      </c>
      <c r="DA87">
        <f>AL87</f>
        <v>12.5</v>
      </c>
      <c r="DB87">
        <f t="shared" si="16"/>
        <v>385.48</v>
      </c>
      <c r="DC87">
        <f t="shared" si="17"/>
        <v>0</v>
      </c>
      <c r="GQ87">
        <v>-1</v>
      </c>
      <c r="GR87">
        <v>-1</v>
      </c>
    </row>
    <row r="88" spans="1:200" x14ac:dyDescent="0.2">
      <c r="A88">
        <f>ROW(Source!A37)</f>
        <v>37</v>
      </c>
      <c r="B88">
        <v>34748540</v>
      </c>
      <c r="C88">
        <v>34748728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230</v>
      </c>
      <c r="J88" t="s">
        <v>3</v>
      </c>
      <c r="K88" t="s">
        <v>231</v>
      </c>
      <c r="L88">
        <v>1191</v>
      </c>
      <c r="N88">
        <v>1013</v>
      </c>
      <c r="O88" t="s">
        <v>227</v>
      </c>
      <c r="P88" t="s">
        <v>227</v>
      </c>
      <c r="Q88">
        <v>1</v>
      </c>
      <c r="W88">
        <v>0</v>
      </c>
      <c r="X88">
        <v>-1417349443</v>
      </c>
      <c r="Y88">
        <v>1.74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12.5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1.74</v>
      </c>
      <c r="AU88" t="s">
        <v>3</v>
      </c>
      <c r="AV88">
        <v>2</v>
      </c>
      <c r="AW88">
        <v>2</v>
      </c>
      <c r="AX88">
        <v>34748730</v>
      </c>
      <c r="AY88">
        <v>1</v>
      </c>
      <c r="AZ88">
        <v>0</v>
      </c>
      <c r="BA88">
        <v>90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Y88*Source!I37</f>
        <v>0.17400000000000002</v>
      </c>
      <c r="CY88">
        <f>AD88</f>
        <v>0</v>
      </c>
      <c r="CZ88">
        <f>AH88</f>
        <v>0</v>
      </c>
      <c r="DA88">
        <f>AL88</f>
        <v>1</v>
      </c>
      <c r="DB88">
        <f t="shared" si="16"/>
        <v>0</v>
      </c>
      <c r="DC88">
        <f t="shared" si="17"/>
        <v>0</v>
      </c>
      <c r="GQ88">
        <v>-1</v>
      </c>
      <c r="GR88">
        <v>-1</v>
      </c>
    </row>
    <row r="89" spans="1:200" x14ac:dyDescent="0.2">
      <c r="A89">
        <f>ROW(Source!A37)</f>
        <v>37</v>
      </c>
      <c r="B89">
        <v>34748540</v>
      </c>
      <c r="C89">
        <v>34748728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327</v>
      </c>
      <c r="J89" t="s">
        <v>328</v>
      </c>
      <c r="K89" t="s">
        <v>329</v>
      </c>
      <c r="L89">
        <v>1368</v>
      </c>
      <c r="N89">
        <v>1011</v>
      </c>
      <c r="O89" t="s">
        <v>235</v>
      </c>
      <c r="P89" t="s">
        <v>235</v>
      </c>
      <c r="Q89">
        <v>1</v>
      </c>
      <c r="W89">
        <v>0</v>
      </c>
      <c r="X89">
        <v>1225731627</v>
      </c>
      <c r="Y89">
        <v>1.74</v>
      </c>
      <c r="AA89">
        <v>0</v>
      </c>
      <c r="AB89">
        <v>1124.8800000000001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12.5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1.74</v>
      </c>
      <c r="AU89" t="s">
        <v>3</v>
      </c>
      <c r="AV89">
        <v>0</v>
      </c>
      <c r="AW89">
        <v>2</v>
      </c>
      <c r="AX89">
        <v>34748731</v>
      </c>
      <c r="AY89">
        <v>1</v>
      </c>
      <c r="AZ89">
        <v>0</v>
      </c>
      <c r="BA89">
        <v>91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Y89*Source!I37</f>
        <v>0.17400000000000002</v>
      </c>
      <c r="CY89">
        <f>AB89</f>
        <v>1124.8800000000001</v>
      </c>
      <c r="CZ89">
        <f>AF89</f>
        <v>89.99</v>
      </c>
      <c r="DA89">
        <f>AJ89</f>
        <v>12.5</v>
      </c>
      <c r="DB89">
        <f t="shared" si="16"/>
        <v>156.58000000000001</v>
      </c>
      <c r="DC89">
        <f t="shared" si="17"/>
        <v>17.5</v>
      </c>
      <c r="GQ89">
        <v>-1</v>
      </c>
      <c r="GR89">
        <v>-1</v>
      </c>
    </row>
    <row r="90" spans="1:200" x14ac:dyDescent="0.2">
      <c r="A90">
        <f>ROW(Source!A37)</f>
        <v>37</v>
      </c>
      <c r="B90">
        <v>34748540</v>
      </c>
      <c r="C90">
        <v>34748728</v>
      </c>
      <c r="D90">
        <v>31449550</v>
      </c>
      <c r="E90">
        <v>1</v>
      </c>
      <c r="F90">
        <v>1</v>
      </c>
      <c r="G90">
        <v>1</v>
      </c>
      <c r="H90">
        <v>3</v>
      </c>
      <c r="I90" t="s">
        <v>330</v>
      </c>
      <c r="J90" t="s">
        <v>331</v>
      </c>
      <c r="K90" t="s">
        <v>332</v>
      </c>
      <c r="L90">
        <v>1348</v>
      </c>
      <c r="N90">
        <v>1009</v>
      </c>
      <c r="O90" t="s">
        <v>288</v>
      </c>
      <c r="P90" t="s">
        <v>288</v>
      </c>
      <c r="Q90">
        <v>1000</v>
      </c>
      <c r="W90">
        <v>0</v>
      </c>
      <c r="X90">
        <v>-775356503</v>
      </c>
      <c r="Y90">
        <v>1.39E-3</v>
      </c>
      <c r="AA90">
        <v>155375</v>
      </c>
      <c r="AB90">
        <v>0</v>
      </c>
      <c r="AC90">
        <v>0</v>
      </c>
      <c r="AD90">
        <v>0</v>
      </c>
      <c r="AE90">
        <v>12430</v>
      </c>
      <c r="AF90">
        <v>0</v>
      </c>
      <c r="AG90">
        <v>0</v>
      </c>
      <c r="AH90">
        <v>0</v>
      </c>
      <c r="AI90">
        <v>12.5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1.39E-3</v>
      </c>
      <c r="AU90" t="s">
        <v>3</v>
      </c>
      <c r="AV90">
        <v>0</v>
      </c>
      <c r="AW90">
        <v>2</v>
      </c>
      <c r="AX90">
        <v>34748732</v>
      </c>
      <c r="AY90">
        <v>1</v>
      </c>
      <c r="AZ90">
        <v>0</v>
      </c>
      <c r="BA90">
        <v>92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Y90*Source!I37</f>
        <v>1.3899999999999999E-4</v>
      </c>
      <c r="CY90">
        <f>AA90</f>
        <v>155375</v>
      </c>
      <c r="CZ90">
        <f>AE90</f>
        <v>12430</v>
      </c>
      <c r="DA90">
        <f>AI90</f>
        <v>12.5</v>
      </c>
      <c r="DB90">
        <f t="shared" si="16"/>
        <v>17.28</v>
      </c>
      <c r="DC90">
        <f t="shared" si="17"/>
        <v>0</v>
      </c>
      <c r="DH90">
        <f>Source!I37*SmtRes!Y90</f>
        <v>1.3899999999999999E-4</v>
      </c>
      <c r="DI90">
        <f>AA90</f>
        <v>155375</v>
      </c>
      <c r="DJ90">
        <f>EtalonRes!Y92</f>
        <v>12430</v>
      </c>
      <c r="DK90">
        <f>Source!BC37</f>
        <v>12.5</v>
      </c>
      <c r="GQ90">
        <v>-1</v>
      </c>
      <c r="GR90">
        <v>-1</v>
      </c>
    </row>
    <row r="91" spans="1:200" x14ac:dyDescent="0.2">
      <c r="A91">
        <f>ROW(Source!A37)</f>
        <v>37</v>
      </c>
      <c r="B91">
        <v>34748540</v>
      </c>
      <c r="C91">
        <v>34748728</v>
      </c>
      <c r="D91">
        <v>31451091</v>
      </c>
      <c r="E91">
        <v>1</v>
      </c>
      <c r="F91">
        <v>1</v>
      </c>
      <c r="G91">
        <v>1</v>
      </c>
      <c r="H91">
        <v>3</v>
      </c>
      <c r="I91" t="s">
        <v>333</v>
      </c>
      <c r="J91" t="s">
        <v>334</v>
      </c>
      <c r="K91" t="s">
        <v>335</v>
      </c>
      <c r="L91">
        <v>1348</v>
      </c>
      <c r="N91">
        <v>1009</v>
      </c>
      <c r="O91" t="s">
        <v>288</v>
      </c>
      <c r="P91" t="s">
        <v>288</v>
      </c>
      <c r="Q91">
        <v>1000</v>
      </c>
      <c r="W91">
        <v>0</v>
      </c>
      <c r="X91">
        <v>-1421715385</v>
      </c>
      <c r="Y91">
        <v>3.3E-3</v>
      </c>
      <c r="AA91">
        <v>9124.75</v>
      </c>
      <c r="AB91">
        <v>0</v>
      </c>
      <c r="AC91">
        <v>0</v>
      </c>
      <c r="AD91">
        <v>0</v>
      </c>
      <c r="AE91">
        <v>729.98</v>
      </c>
      <c r="AF91">
        <v>0</v>
      </c>
      <c r="AG91">
        <v>0</v>
      </c>
      <c r="AH91">
        <v>0</v>
      </c>
      <c r="AI91">
        <v>12.5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3.3E-3</v>
      </c>
      <c r="AU91" t="s">
        <v>3</v>
      </c>
      <c r="AV91">
        <v>0</v>
      </c>
      <c r="AW91">
        <v>2</v>
      </c>
      <c r="AX91">
        <v>34748733</v>
      </c>
      <c r="AY91">
        <v>1</v>
      </c>
      <c r="AZ91">
        <v>0</v>
      </c>
      <c r="BA91">
        <v>93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Y91*Source!I37</f>
        <v>3.3E-4</v>
      </c>
      <c r="CY91">
        <f>AA91</f>
        <v>9124.75</v>
      </c>
      <c r="CZ91">
        <f>AE91</f>
        <v>729.98</v>
      </c>
      <c r="DA91">
        <f>AI91</f>
        <v>12.5</v>
      </c>
      <c r="DB91">
        <f t="shared" si="16"/>
        <v>2.41</v>
      </c>
      <c r="DC91">
        <f t="shared" si="17"/>
        <v>0</v>
      </c>
      <c r="DH91">
        <f>Source!I37*SmtRes!Y91</f>
        <v>3.3E-4</v>
      </c>
      <c r="DI91">
        <f>AA91</f>
        <v>9124.75</v>
      </c>
      <c r="DJ91">
        <f>EtalonRes!Y93</f>
        <v>729.98</v>
      </c>
      <c r="DK91">
        <f>Source!BC37</f>
        <v>12.5</v>
      </c>
      <c r="GQ91">
        <v>-1</v>
      </c>
      <c r="GR91">
        <v>-1</v>
      </c>
    </row>
    <row r="92" spans="1:200" x14ac:dyDescent="0.2">
      <c r="A92">
        <f>ROW(Source!A37)</f>
        <v>37</v>
      </c>
      <c r="B92">
        <v>34748540</v>
      </c>
      <c r="C92">
        <v>34748728</v>
      </c>
      <c r="D92">
        <v>31470212</v>
      </c>
      <c r="E92">
        <v>1</v>
      </c>
      <c r="F92">
        <v>1</v>
      </c>
      <c r="G92">
        <v>1</v>
      </c>
      <c r="H92">
        <v>3</v>
      </c>
      <c r="I92" t="s">
        <v>336</v>
      </c>
      <c r="J92" t="s">
        <v>337</v>
      </c>
      <c r="K92" t="s">
        <v>338</v>
      </c>
      <c r="L92">
        <v>1348</v>
      </c>
      <c r="N92">
        <v>1009</v>
      </c>
      <c r="O92" t="s">
        <v>288</v>
      </c>
      <c r="P92" t="s">
        <v>288</v>
      </c>
      <c r="Q92">
        <v>1000</v>
      </c>
      <c r="W92">
        <v>0</v>
      </c>
      <c r="X92">
        <v>-480376383</v>
      </c>
      <c r="Y92">
        <v>3.6000000000000002E-4</v>
      </c>
      <c r="AA92">
        <v>127500</v>
      </c>
      <c r="AB92">
        <v>0</v>
      </c>
      <c r="AC92">
        <v>0</v>
      </c>
      <c r="AD92">
        <v>0</v>
      </c>
      <c r="AE92">
        <v>10200</v>
      </c>
      <c r="AF92">
        <v>0</v>
      </c>
      <c r="AG92">
        <v>0</v>
      </c>
      <c r="AH92">
        <v>0</v>
      </c>
      <c r="AI92">
        <v>12.5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3.6000000000000002E-4</v>
      </c>
      <c r="AU92" t="s">
        <v>3</v>
      </c>
      <c r="AV92">
        <v>0</v>
      </c>
      <c r="AW92">
        <v>2</v>
      </c>
      <c r="AX92">
        <v>34748734</v>
      </c>
      <c r="AY92">
        <v>1</v>
      </c>
      <c r="AZ92">
        <v>0</v>
      </c>
      <c r="BA92">
        <v>94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Y92*Source!I37</f>
        <v>3.6000000000000001E-5</v>
      </c>
      <c r="CY92">
        <f>AA92</f>
        <v>127500</v>
      </c>
      <c r="CZ92">
        <f>AE92</f>
        <v>10200</v>
      </c>
      <c r="DA92">
        <f>AI92</f>
        <v>12.5</v>
      </c>
      <c r="DB92">
        <f t="shared" si="16"/>
        <v>3.67</v>
      </c>
      <c r="DC92">
        <f t="shared" si="17"/>
        <v>0</v>
      </c>
      <c r="DH92">
        <f>Source!I37*SmtRes!Y92</f>
        <v>3.6000000000000001E-5</v>
      </c>
      <c r="DI92">
        <f>AA92</f>
        <v>127500</v>
      </c>
      <c r="DJ92">
        <f>EtalonRes!Y94</f>
        <v>10200</v>
      </c>
      <c r="DK92">
        <f>Source!BC37</f>
        <v>12.5</v>
      </c>
      <c r="GQ92">
        <v>-1</v>
      </c>
      <c r="GR92">
        <v>-1</v>
      </c>
    </row>
    <row r="93" spans="1:200" x14ac:dyDescent="0.2">
      <c r="A93">
        <f>ROW(Source!A37)</f>
        <v>37</v>
      </c>
      <c r="B93">
        <v>34748540</v>
      </c>
      <c r="C93">
        <v>34748728</v>
      </c>
      <c r="D93">
        <v>31505175</v>
      </c>
      <c r="E93">
        <v>1</v>
      </c>
      <c r="F93">
        <v>1</v>
      </c>
      <c r="G93">
        <v>1</v>
      </c>
      <c r="H93">
        <v>3</v>
      </c>
      <c r="I93" t="s">
        <v>339</v>
      </c>
      <c r="J93" t="s">
        <v>340</v>
      </c>
      <c r="K93" t="s">
        <v>341</v>
      </c>
      <c r="L93">
        <v>1355</v>
      </c>
      <c r="N93">
        <v>1010</v>
      </c>
      <c r="O93" t="s">
        <v>250</v>
      </c>
      <c r="P93" t="s">
        <v>250</v>
      </c>
      <c r="Q93">
        <v>100</v>
      </c>
      <c r="W93">
        <v>0</v>
      </c>
      <c r="X93">
        <v>-1886339978</v>
      </c>
      <c r="Y93">
        <v>3.12</v>
      </c>
      <c r="AA93">
        <v>1946.75</v>
      </c>
      <c r="AB93">
        <v>0</v>
      </c>
      <c r="AC93">
        <v>0</v>
      </c>
      <c r="AD93">
        <v>0</v>
      </c>
      <c r="AE93">
        <v>155.74</v>
      </c>
      <c r="AF93">
        <v>0</v>
      </c>
      <c r="AG93">
        <v>0</v>
      </c>
      <c r="AH93">
        <v>0</v>
      </c>
      <c r="AI93">
        <v>12.5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3.12</v>
      </c>
      <c r="AU93" t="s">
        <v>3</v>
      </c>
      <c r="AV93">
        <v>0</v>
      </c>
      <c r="AW93">
        <v>2</v>
      </c>
      <c r="AX93">
        <v>34748735</v>
      </c>
      <c r="AY93">
        <v>1</v>
      </c>
      <c r="AZ93">
        <v>0</v>
      </c>
      <c r="BA93">
        <v>95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Y93*Source!I37</f>
        <v>0.31200000000000006</v>
      </c>
      <c r="CY93">
        <f>AA93</f>
        <v>1946.75</v>
      </c>
      <c r="CZ93">
        <f>AE93</f>
        <v>155.74</v>
      </c>
      <c r="DA93">
        <f>AI93</f>
        <v>12.5</v>
      </c>
      <c r="DB93">
        <f t="shared" si="16"/>
        <v>485.91</v>
      </c>
      <c r="DC93">
        <f t="shared" si="17"/>
        <v>0</v>
      </c>
      <c r="DH93">
        <f>Source!I37*SmtRes!Y93</f>
        <v>0.31200000000000006</v>
      </c>
      <c r="DI93">
        <f>AA93</f>
        <v>1946.75</v>
      </c>
      <c r="DJ93">
        <f>EtalonRes!Y95</f>
        <v>155.74</v>
      </c>
      <c r="DK93">
        <f>Source!BC37</f>
        <v>12.5</v>
      </c>
      <c r="GQ93">
        <v>-1</v>
      </c>
      <c r="GR93">
        <v>-1</v>
      </c>
    </row>
    <row r="94" spans="1:200" x14ac:dyDescent="0.2">
      <c r="A94">
        <f>ROW(Source!A37)</f>
        <v>37</v>
      </c>
      <c r="B94">
        <v>34748540</v>
      </c>
      <c r="C94">
        <v>34748728</v>
      </c>
      <c r="D94">
        <v>31443668</v>
      </c>
      <c r="E94">
        <v>17</v>
      </c>
      <c r="F94">
        <v>1</v>
      </c>
      <c r="G94">
        <v>1</v>
      </c>
      <c r="H94">
        <v>3</v>
      </c>
      <c r="I94" t="s">
        <v>298</v>
      </c>
      <c r="J94" t="s">
        <v>3</v>
      </c>
      <c r="K94" t="s">
        <v>299</v>
      </c>
      <c r="L94">
        <v>1374</v>
      </c>
      <c r="N94">
        <v>1013</v>
      </c>
      <c r="O94" t="s">
        <v>300</v>
      </c>
      <c r="P94" t="s">
        <v>300</v>
      </c>
      <c r="Q94">
        <v>1</v>
      </c>
      <c r="W94">
        <v>0</v>
      </c>
      <c r="X94">
        <v>-1731369543</v>
      </c>
      <c r="Y94">
        <v>7.71</v>
      </c>
      <c r="AA94">
        <v>12.5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12.5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7.71</v>
      </c>
      <c r="AU94" t="s">
        <v>3</v>
      </c>
      <c r="AV94">
        <v>0</v>
      </c>
      <c r="AW94">
        <v>2</v>
      </c>
      <c r="AX94">
        <v>34748736</v>
      </c>
      <c r="AY94">
        <v>1</v>
      </c>
      <c r="AZ94">
        <v>0</v>
      </c>
      <c r="BA94">
        <v>96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Y94*Source!I37</f>
        <v>0.77100000000000002</v>
      </c>
      <c r="CY94">
        <f>AA94</f>
        <v>12.5</v>
      </c>
      <c r="CZ94">
        <f>AE94</f>
        <v>1</v>
      </c>
      <c r="DA94">
        <f>AI94</f>
        <v>12.5</v>
      </c>
      <c r="DB94">
        <f t="shared" si="16"/>
        <v>7.71</v>
      </c>
      <c r="DC94">
        <f t="shared" si="17"/>
        <v>0</v>
      </c>
      <c r="DH94">
        <f>Source!I37*SmtRes!Y94</f>
        <v>0.77100000000000002</v>
      </c>
      <c r="DI94">
        <f>AA94</f>
        <v>12.5</v>
      </c>
      <c r="DJ94">
        <f>EtalonRes!Y96</f>
        <v>1</v>
      </c>
      <c r="DK94">
        <f>Source!BC37</f>
        <v>12.5</v>
      </c>
      <c r="GQ94">
        <v>-1</v>
      </c>
      <c r="GR94">
        <v>-1</v>
      </c>
    </row>
    <row r="95" spans="1:200" x14ac:dyDescent="0.2">
      <c r="A95">
        <f>ROW(Source!A38)</f>
        <v>38</v>
      </c>
      <c r="B95">
        <v>34748518</v>
      </c>
      <c r="C95">
        <v>34748747</v>
      </c>
      <c r="D95">
        <v>32164293</v>
      </c>
      <c r="E95">
        <v>1</v>
      </c>
      <c r="F95">
        <v>1</v>
      </c>
      <c r="G95">
        <v>1</v>
      </c>
      <c r="H95">
        <v>1</v>
      </c>
      <c r="I95" t="s">
        <v>342</v>
      </c>
      <c r="J95" t="s">
        <v>3</v>
      </c>
      <c r="K95" t="s">
        <v>343</v>
      </c>
      <c r="L95">
        <v>1191</v>
      </c>
      <c r="N95">
        <v>1013</v>
      </c>
      <c r="O95" t="s">
        <v>227</v>
      </c>
      <c r="P95" t="s">
        <v>227</v>
      </c>
      <c r="Q95">
        <v>1</v>
      </c>
      <c r="W95">
        <v>0</v>
      </c>
      <c r="X95">
        <v>-1166887252</v>
      </c>
      <c r="Y95">
        <v>0.81</v>
      </c>
      <c r="AA95">
        <v>0</v>
      </c>
      <c r="AB95">
        <v>0</v>
      </c>
      <c r="AC95">
        <v>0</v>
      </c>
      <c r="AD95">
        <v>12.92</v>
      </c>
      <c r="AE95">
        <v>0</v>
      </c>
      <c r="AF95">
        <v>0</v>
      </c>
      <c r="AG95">
        <v>0</v>
      </c>
      <c r="AH95">
        <v>12.92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0.81</v>
      </c>
      <c r="AU95" t="s">
        <v>3</v>
      </c>
      <c r="AV95">
        <v>1</v>
      </c>
      <c r="AW95">
        <v>2</v>
      </c>
      <c r="AX95">
        <v>34748748</v>
      </c>
      <c r="AY95">
        <v>1</v>
      </c>
      <c r="AZ95">
        <v>0</v>
      </c>
      <c r="BA95">
        <v>97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Y95*Source!I38</f>
        <v>0.81</v>
      </c>
      <c r="CY95">
        <f t="shared" ref="CY95:CY100" si="18">AD95</f>
        <v>12.92</v>
      </c>
      <c r="CZ95">
        <f t="shared" ref="CZ95:CZ100" si="19">AH95</f>
        <v>12.92</v>
      </c>
      <c r="DA95">
        <f t="shared" ref="DA95:DA100" si="20">AL95</f>
        <v>1</v>
      </c>
      <c r="DB95">
        <f t="shared" si="16"/>
        <v>10.47</v>
      </c>
      <c r="DC95">
        <f t="shared" si="17"/>
        <v>0</v>
      </c>
      <c r="GQ95">
        <v>-1</v>
      </c>
      <c r="GR95">
        <v>-1</v>
      </c>
    </row>
    <row r="96" spans="1:200" x14ac:dyDescent="0.2">
      <c r="A96">
        <f>ROW(Source!A38)</f>
        <v>38</v>
      </c>
      <c r="B96">
        <v>34748518</v>
      </c>
      <c r="C96">
        <v>34748747</v>
      </c>
      <c r="D96">
        <v>32163330</v>
      </c>
      <c r="E96">
        <v>1</v>
      </c>
      <c r="F96">
        <v>1</v>
      </c>
      <c r="G96">
        <v>1</v>
      </c>
      <c r="H96">
        <v>1</v>
      </c>
      <c r="I96" t="s">
        <v>344</v>
      </c>
      <c r="J96" t="s">
        <v>3</v>
      </c>
      <c r="K96" t="s">
        <v>345</v>
      </c>
      <c r="L96">
        <v>1191</v>
      </c>
      <c r="N96">
        <v>1013</v>
      </c>
      <c r="O96" t="s">
        <v>227</v>
      </c>
      <c r="P96" t="s">
        <v>227</v>
      </c>
      <c r="Q96">
        <v>1</v>
      </c>
      <c r="W96">
        <v>0</v>
      </c>
      <c r="X96">
        <v>1776637054</v>
      </c>
      <c r="Y96">
        <v>0.81</v>
      </c>
      <c r="AA96">
        <v>0</v>
      </c>
      <c r="AB96">
        <v>0</v>
      </c>
      <c r="AC96">
        <v>0</v>
      </c>
      <c r="AD96">
        <v>12.69</v>
      </c>
      <c r="AE96">
        <v>0</v>
      </c>
      <c r="AF96">
        <v>0</v>
      </c>
      <c r="AG96">
        <v>0</v>
      </c>
      <c r="AH96">
        <v>12.69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0.81</v>
      </c>
      <c r="AU96" t="s">
        <v>3</v>
      </c>
      <c r="AV96">
        <v>1</v>
      </c>
      <c r="AW96">
        <v>2</v>
      </c>
      <c r="AX96">
        <v>34748749</v>
      </c>
      <c r="AY96">
        <v>1</v>
      </c>
      <c r="AZ96">
        <v>0</v>
      </c>
      <c r="BA96">
        <v>98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Y96*Source!I38</f>
        <v>0.81</v>
      </c>
      <c r="CY96">
        <f t="shared" si="18"/>
        <v>12.69</v>
      </c>
      <c r="CZ96">
        <f t="shared" si="19"/>
        <v>12.69</v>
      </c>
      <c r="DA96">
        <f t="shared" si="20"/>
        <v>1</v>
      </c>
      <c r="DB96">
        <f t="shared" si="16"/>
        <v>10.28</v>
      </c>
      <c r="DC96">
        <f t="shared" si="17"/>
        <v>0</v>
      </c>
      <c r="GQ96">
        <v>-1</v>
      </c>
      <c r="GR96">
        <v>-1</v>
      </c>
    </row>
    <row r="97" spans="1:200" x14ac:dyDescent="0.2">
      <c r="A97">
        <f>ROW(Source!A39)</f>
        <v>39</v>
      </c>
      <c r="B97">
        <v>34748540</v>
      </c>
      <c r="C97">
        <v>34748747</v>
      </c>
      <c r="D97">
        <v>32164293</v>
      </c>
      <c r="E97">
        <v>1</v>
      </c>
      <c r="F97">
        <v>1</v>
      </c>
      <c r="G97">
        <v>1</v>
      </c>
      <c r="H97">
        <v>1</v>
      </c>
      <c r="I97" t="s">
        <v>342</v>
      </c>
      <c r="J97" t="s">
        <v>3</v>
      </c>
      <c r="K97" t="s">
        <v>343</v>
      </c>
      <c r="L97">
        <v>1191</v>
      </c>
      <c r="N97">
        <v>1013</v>
      </c>
      <c r="O97" t="s">
        <v>227</v>
      </c>
      <c r="P97" t="s">
        <v>227</v>
      </c>
      <c r="Q97">
        <v>1</v>
      </c>
      <c r="W97">
        <v>0</v>
      </c>
      <c r="X97">
        <v>-1166887252</v>
      </c>
      <c r="Y97">
        <v>0.81</v>
      </c>
      <c r="AA97">
        <v>0</v>
      </c>
      <c r="AB97">
        <v>0</v>
      </c>
      <c r="AC97">
        <v>0</v>
      </c>
      <c r="AD97">
        <v>161.5</v>
      </c>
      <c r="AE97">
        <v>0</v>
      </c>
      <c r="AF97">
        <v>0</v>
      </c>
      <c r="AG97">
        <v>0</v>
      </c>
      <c r="AH97">
        <v>12.92</v>
      </c>
      <c r="AI97">
        <v>1</v>
      </c>
      <c r="AJ97">
        <v>1</v>
      </c>
      <c r="AK97">
        <v>1</v>
      </c>
      <c r="AL97">
        <v>12.5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0.81</v>
      </c>
      <c r="AU97" t="s">
        <v>3</v>
      </c>
      <c r="AV97">
        <v>1</v>
      </c>
      <c r="AW97">
        <v>2</v>
      </c>
      <c r="AX97">
        <v>34748748</v>
      </c>
      <c r="AY97">
        <v>1</v>
      </c>
      <c r="AZ97">
        <v>0</v>
      </c>
      <c r="BA97">
        <v>99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Y97*Source!I39</f>
        <v>0.81</v>
      </c>
      <c r="CY97">
        <f t="shared" si="18"/>
        <v>161.5</v>
      </c>
      <c r="CZ97">
        <f t="shared" si="19"/>
        <v>12.92</v>
      </c>
      <c r="DA97">
        <f t="shared" si="20"/>
        <v>12.5</v>
      </c>
      <c r="DB97">
        <f t="shared" ref="DB97:DB108" si="21">ROUND(ROUND(AT97*CZ97,2),2)</f>
        <v>10.47</v>
      </c>
      <c r="DC97">
        <f t="shared" ref="DC97:DC108" si="22">ROUND(ROUND(AT97*AG97,2),2)</f>
        <v>0</v>
      </c>
      <c r="GQ97">
        <v>-1</v>
      </c>
      <c r="GR97">
        <v>-1</v>
      </c>
    </row>
    <row r="98" spans="1:200" x14ac:dyDescent="0.2">
      <c r="A98">
        <f>ROW(Source!A39)</f>
        <v>39</v>
      </c>
      <c r="B98">
        <v>34748540</v>
      </c>
      <c r="C98">
        <v>34748747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344</v>
      </c>
      <c r="J98" t="s">
        <v>3</v>
      </c>
      <c r="K98" t="s">
        <v>345</v>
      </c>
      <c r="L98">
        <v>1191</v>
      </c>
      <c r="N98">
        <v>1013</v>
      </c>
      <c r="O98" t="s">
        <v>227</v>
      </c>
      <c r="P98" t="s">
        <v>227</v>
      </c>
      <c r="Q98">
        <v>1</v>
      </c>
      <c r="W98">
        <v>0</v>
      </c>
      <c r="X98">
        <v>1776637054</v>
      </c>
      <c r="Y98">
        <v>0.81</v>
      </c>
      <c r="AA98">
        <v>0</v>
      </c>
      <c r="AB98">
        <v>0</v>
      </c>
      <c r="AC98">
        <v>0</v>
      </c>
      <c r="AD98">
        <v>158.63</v>
      </c>
      <c r="AE98">
        <v>0</v>
      </c>
      <c r="AF98">
        <v>0</v>
      </c>
      <c r="AG98">
        <v>0</v>
      </c>
      <c r="AH98">
        <v>12.69</v>
      </c>
      <c r="AI98">
        <v>1</v>
      </c>
      <c r="AJ98">
        <v>1</v>
      </c>
      <c r="AK98">
        <v>1</v>
      </c>
      <c r="AL98">
        <v>12.5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0.81</v>
      </c>
      <c r="AU98" t="s">
        <v>3</v>
      </c>
      <c r="AV98">
        <v>1</v>
      </c>
      <c r="AW98">
        <v>2</v>
      </c>
      <c r="AX98">
        <v>34748749</v>
      </c>
      <c r="AY98">
        <v>1</v>
      </c>
      <c r="AZ98">
        <v>0</v>
      </c>
      <c r="BA98">
        <v>100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Y98*Source!I39</f>
        <v>0.81</v>
      </c>
      <c r="CY98">
        <f t="shared" si="18"/>
        <v>158.63</v>
      </c>
      <c r="CZ98">
        <f t="shared" si="19"/>
        <v>12.69</v>
      </c>
      <c r="DA98">
        <f t="shared" si="20"/>
        <v>12.5</v>
      </c>
      <c r="DB98">
        <f t="shared" si="21"/>
        <v>10.28</v>
      </c>
      <c r="DC98">
        <f t="shared" si="22"/>
        <v>0</v>
      </c>
      <c r="GQ98">
        <v>-1</v>
      </c>
      <c r="GR98">
        <v>-1</v>
      </c>
    </row>
    <row r="99" spans="1:200" x14ac:dyDescent="0.2">
      <c r="A99">
        <f>ROW(Source!A40)</f>
        <v>40</v>
      </c>
      <c r="B99">
        <v>34748518</v>
      </c>
      <c r="C99">
        <v>34748777</v>
      </c>
      <c r="D99">
        <v>31715651</v>
      </c>
      <c r="E99">
        <v>1</v>
      </c>
      <c r="F99">
        <v>1</v>
      </c>
      <c r="G99">
        <v>1</v>
      </c>
      <c r="H99">
        <v>1</v>
      </c>
      <c r="I99" t="s">
        <v>323</v>
      </c>
      <c r="J99" t="s">
        <v>3</v>
      </c>
      <c r="K99" t="s">
        <v>324</v>
      </c>
      <c r="L99">
        <v>1191</v>
      </c>
      <c r="N99">
        <v>1013</v>
      </c>
      <c r="O99" t="s">
        <v>227</v>
      </c>
      <c r="P99" t="s">
        <v>227</v>
      </c>
      <c r="Q99">
        <v>1</v>
      </c>
      <c r="W99">
        <v>0</v>
      </c>
      <c r="X99">
        <v>1069510174</v>
      </c>
      <c r="Y99">
        <v>28.59</v>
      </c>
      <c r="AA99">
        <v>0</v>
      </c>
      <c r="AB99">
        <v>0</v>
      </c>
      <c r="AC99">
        <v>0</v>
      </c>
      <c r="AD99">
        <v>9.6199999999999992</v>
      </c>
      <c r="AE99">
        <v>0</v>
      </c>
      <c r="AF99">
        <v>0</v>
      </c>
      <c r="AG99">
        <v>0</v>
      </c>
      <c r="AH99">
        <v>9.6199999999999992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28.59</v>
      </c>
      <c r="AU99" t="s">
        <v>3</v>
      </c>
      <c r="AV99">
        <v>1</v>
      </c>
      <c r="AW99">
        <v>2</v>
      </c>
      <c r="AX99">
        <v>34748778</v>
      </c>
      <c r="AY99">
        <v>1</v>
      </c>
      <c r="AZ99">
        <v>0</v>
      </c>
      <c r="BA99">
        <v>101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Y99*Source!I40</f>
        <v>28.59</v>
      </c>
      <c r="CY99">
        <f t="shared" si="18"/>
        <v>9.6199999999999992</v>
      </c>
      <c r="CZ99">
        <f t="shared" si="19"/>
        <v>9.6199999999999992</v>
      </c>
      <c r="DA99">
        <f t="shared" si="20"/>
        <v>1</v>
      </c>
      <c r="DB99">
        <f t="shared" si="21"/>
        <v>275.04000000000002</v>
      </c>
      <c r="DC99">
        <f t="shared" si="22"/>
        <v>0</v>
      </c>
      <c r="GQ99">
        <v>-1</v>
      </c>
      <c r="GR99">
        <v>-1</v>
      </c>
    </row>
    <row r="100" spans="1:200" x14ac:dyDescent="0.2">
      <c r="A100">
        <f>ROW(Source!A40)</f>
        <v>40</v>
      </c>
      <c r="B100">
        <v>34748518</v>
      </c>
      <c r="C100">
        <v>34748777</v>
      </c>
      <c r="D100">
        <v>31709492</v>
      </c>
      <c r="E100">
        <v>1</v>
      </c>
      <c r="F100">
        <v>1</v>
      </c>
      <c r="G100">
        <v>1</v>
      </c>
      <c r="H100">
        <v>1</v>
      </c>
      <c r="I100" t="s">
        <v>230</v>
      </c>
      <c r="J100" t="s">
        <v>3</v>
      </c>
      <c r="K100" t="s">
        <v>231</v>
      </c>
      <c r="L100">
        <v>1191</v>
      </c>
      <c r="N100">
        <v>1013</v>
      </c>
      <c r="O100" t="s">
        <v>227</v>
      </c>
      <c r="P100" t="s">
        <v>227</v>
      </c>
      <c r="Q100">
        <v>1</v>
      </c>
      <c r="W100">
        <v>0</v>
      </c>
      <c r="X100">
        <v>-1417349443</v>
      </c>
      <c r="Y100">
        <v>9.8800000000000008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9.8800000000000008</v>
      </c>
      <c r="AU100" t="s">
        <v>3</v>
      </c>
      <c r="AV100">
        <v>2</v>
      </c>
      <c r="AW100">
        <v>2</v>
      </c>
      <c r="AX100">
        <v>34748779</v>
      </c>
      <c r="AY100">
        <v>1</v>
      </c>
      <c r="AZ100">
        <v>0</v>
      </c>
      <c r="BA100">
        <v>102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Y100*Source!I40</f>
        <v>9.8800000000000008</v>
      </c>
      <c r="CY100">
        <f t="shared" si="18"/>
        <v>0</v>
      </c>
      <c r="CZ100">
        <f t="shared" si="19"/>
        <v>0</v>
      </c>
      <c r="DA100">
        <f t="shared" si="20"/>
        <v>1</v>
      </c>
      <c r="DB100">
        <f t="shared" si="21"/>
        <v>0</v>
      </c>
      <c r="DC100">
        <f t="shared" si="22"/>
        <v>0</v>
      </c>
      <c r="GQ100">
        <v>-1</v>
      </c>
      <c r="GR100">
        <v>-1</v>
      </c>
    </row>
    <row r="101" spans="1:200" x14ac:dyDescent="0.2">
      <c r="A101">
        <f>ROW(Source!A40)</f>
        <v>40</v>
      </c>
      <c r="B101">
        <v>34748518</v>
      </c>
      <c r="C101">
        <v>34748777</v>
      </c>
      <c r="D101">
        <v>31526753</v>
      </c>
      <c r="E101">
        <v>1</v>
      </c>
      <c r="F101">
        <v>1</v>
      </c>
      <c r="G101">
        <v>1</v>
      </c>
      <c r="H101">
        <v>2</v>
      </c>
      <c r="I101" t="s">
        <v>303</v>
      </c>
      <c r="J101" t="s">
        <v>304</v>
      </c>
      <c r="K101" t="s">
        <v>305</v>
      </c>
      <c r="L101">
        <v>1368</v>
      </c>
      <c r="N101">
        <v>1011</v>
      </c>
      <c r="O101" t="s">
        <v>235</v>
      </c>
      <c r="P101" t="s">
        <v>235</v>
      </c>
      <c r="Q101">
        <v>1</v>
      </c>
      <c r="W101">
        <v>0</v>
      </c>
      <c r="X101">
        <v>-1718674368</v>
      </c>
      <c r="Y101">
        <v>2.67</v>
      </c>
      <c r="AA101">
        <v>0</v>
      </c>
      <c r="AB101">
        <v>111.99</v>
      </c>
      <c r="AC101">
        <v>13.5</v>
      </c>
      <c r="AD101">
        <v>0</v>
      </c>
      <c r="AE101">
        <v>0</v>
      </c>
      <c r="AF101">
        <v>111.99</v>
      </c>
      <c r="AG101">
        <v>13.5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2.67</v>
      </c>
      <c r="AU101" t="s">
        <v>3</v>
      </c>
      <c r="AV101">
        <v>0</v>
      </c>
      <c r="AW101">
        <v>2</v>
      </c>
      <c r="AX101">
        <v>34748780</v>
      </c>
      <c r="AY101">
        <v>1</v>
      </c>
      <c r="AZ101">
        <v>0</v>
      </c>
      <c r="BA101">
        <v>103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Y101*Source!I40</f>
        <v>2.67</v>
      </c>
      <c r="CY101">
        <f>AB101</f>
        <v>111.99</v>
      </c>
      <c r="CZ101">
        <f>AF101</f>
        <v>111.99</v>
      </c>
      <c r="DA101">
        <f>AJ101</f>
        <v>1</v>
      </c>
      <c r="DB101">
        <f t="shared" si="21"/>
        <v>299.01</v>
      </c>
      <c r="DC101">
        <f t="shared" si="22"/>
        <v>36.049999999999997</v>
      </c>
      <c r="GQ101">
        <v>-1</v>
      </c>
      <c r="GR101">
        <v>-1</v>
      </c>
    </row>
    <row r="102" spans="1:200" x14ac:dyDescent="0.2">
      <c r="A102">
        <f>ROW(Source!A40)</f>
        <v>40</v>
      </c>
      <c r="B102">
        <v>34748518</v>
      </c>
      <c r="C102">
        <v>34748777</v>
      </c>
      <c r="D102">
        <v>31527023</v>
      </c>
      <c r="E102">
        <v>1</v>
      </c>
      <c r="F102">
        <v>1</v>
      </c>
      <c r="G102">
        <v>1</v>
      </c>
      <c r="H102">
        <v>2</v>
      </c>
      <c r="I102" t="s">
        <v>346</v>
      </c>
      <c r="J102" t="s">
        <v>347</v>
      </c>
      <c r="K102" t="s">
        <v>348</v>
      </c>
      <c r="L102">
        <v>1368</v>
      </c>
      <c r="N102">
        <v>1011</v>
      </c>
      <c r="O102" t="s">
        <v>235</v>
      </c>
      <c r="P102" t="s">
        <v>235</v>
      </c>
      <c r="Q102">
        <v>1</v>
      </c>
      <c r="W102">
        <v>0</v>
      </c>
      <c r="X102">
        <v>-2134233284</v>
      </c>
      <c r="Y102">
        <v>5.78</v>
      </c>
      <c r="AA102">
        <v>0</v>
      </c>
      <c r="AB102">
        <v>82.22</v>
      </c>
      <c r="AC102">
        <v>10.06</v>
      </c>
      <c r="AD102">
        <v>0</v>
      </c>
      <c r="AE102">
        <v>0</v>
      </c>
      <c r="AF102">
        <v>82.22</v>
      </c>
      <c r="AG102">
        <v>10.06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5.78</v>
      </c>
      <c r="AU102" t="s">
        <v>3</v>
      </c>
      <c r="AV102">
        <v>0</v>
      </c>
      <c r="AW102">
        <v>2</v>
      </c>
      <c r="AX102">
        <v>34748781</v>
      </c>
      <c r="AY102">
        <v>1</v>
      </c>
      <c r="AZ102">
        <v>0</v>
      </c>
      <c r="BA102">
        <v>104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Y102*Source!I40</f>
        <v>5.78</v>
      </c>
      <c r="CY102">
        <f>AB102</f>
        <v>82.22</v>
      </c>
      <c r="CZ102">
        <f>AF102</f>
        <v>82.22</v>
      </c>
      <c r="DA102">
        <f>AJ102</f>
        <v>1</v>
      </c>
      <c r="DB102">
        <f t="shared" si="21"/>
        <v>475.23</v>
      </c>
      <c r="DC102">
        <f t="shared" si="22"/>
        <v>58.15</v>
      </c>
      <c r="GQ102">
        <v>-1</v>
      </c>
      <c r="GR102">
        <v>-1</v>
      </c>
    </row>
    <row r="103" spans="1:200" x14ac:dyDescent="0.2">
      <c r="A103">
        <f>ROW(Source!A40)</f>
        <v>40</v>
      </c>
      <c r="B103">
        <v>34748518</v>
      </c>
      <c r="C103">
        <v>34748777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306</v>
      </c>
      <c r="J103" t="s">
        <v>307</v>
      </c>
      <c r="K103" t="s">
        <v>308</v>
      </c>
      <c r="L103">
        <v>1368</v>
      </c>
      <c r="N103">
        <v>1011</v>
      </c>
      <c r="O103" t="s">
        <v>235</v>
      </c>
      <c r="P103" t="s">
        <v>235</v>
      </c>
      <c r="Q103">
        <v>1</v>
      </c>
      <c r="W103">
        <v>0</v>
      </c>
      <c r="X103">
        <v>1372534845</v>
      </c>
      <c r="Y103">
        <v>1.43</v>
      </c>
      <c r="AA103">
        <v>0</v>
      </c>
      <c r="AB103">
        <v>65.709999999999994</v>
      </c>
      <c r="AC103">
        <v>11.6</v>
      </c>
      <c r="AD103">
        <v>0</v>
      </c>
      <c r="AE103">
        <v>0</v>
      </c>
      <c r="AF103">
        <v>65.709999999999994</v>
      </c>
      <c r="AG103">
        <v>11.6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1.43</v>
      </c>
      <c r="AU103" t="s">
        <v>3</v>
      </c>
      <c r="AV103">
        <v>0</v>
      </c>
      <c r="AW103">
        <v>2</v>
      </c>
      <c r="AX103">
        <v>34748782</v>
      </c>
      <c r="AY103">
        <v>1</v>
      </c>
      <c r="AZ103">
        <v>0</v>
      </c>
      <c r="BA103">
        <v>105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Y103*Source!I40</f>
        <v>1.43</v>
      </c>
      <c r="CY103">
        <f>AB103</f>
        <v>65.709999999999994</v>
      </c>
      <c r="CZ103">
        <f>AF103</f>
        <v>65.709999999999994</v>
      </c>
      <c r="DA103">
        <f>AJ103</f>
        <v>1</v>
      </c>
      <c r="DB103">
        <f t="shared" si="21"/>
        <v>93.97</v>
      </c>
      <c r="DC103">
        <f t="shared" si="22"/>
        <v>16.59</v>
      </c>
      <c r="GQ103">
        <v>-1</v>
      </c>
      <c r="GR103">
        <v>-1</v>
      </c>
    </row>
    <row r="104" spans="1:200" x14ac:dyDescent="0.2">
      <c r="A104">
        <f>ROW(Source!A41)</f>
        <v>41</v>
      </c>
      <c r="B104">
        <v>34748540</v>
      </c>
      <c r="C104">
        <v>34748777</v>
      </c>
      <c r="D104">
        <v>31715651</v>
      </c>
      <c r="E104">
        <v>1</v>
      </c>
      <c r="F104">
        <v>1</v>
      </c>
      <c r="G104">
        <v>1</v>
      </c>
      <c r="H104">
        <v>1</v>
      </c>
      <c r="I104" t="s">
        <v>323</v>
      </c>
      <c r="J104" t="s">
        <v>3</v>
      </c>
      <c r="K104" t="s">
        <v>324</v>
      </c>
      <c r="L104">
        <v>1191</v>
      </c>
      <c r="N104">
        <v>1013</v>
      </c>
      <c r="O104" t="s">
        <v>227</v>
      </c>
      <c r="P104" t="s">
        <v>227</v>
      </c>
      <c r="Q104">
        <v>1</v>
      </c>
      <c r="W104">
        <v>0</v>
      </c>
      <c r="X104">
        <v>1069510174</v>
      </c>
      <c r="Y104">
        <v>28.59</v>
      </c>
      <c r="AA104">
        <v>0</v>
      </c>
      <c r="AB104">
        <v>0</v>
      </c>
      <c r="AC104">
        <v>0</v>
      </c>
      <c r="AD104">
        <v>120.25</v>
      </c>
      <c r="AE104">
        <v>0</v>
      </c>
      <c r="AF104">
        <v>0</v>
      </c>
      <c r="AG104">
        <v>0</v>
      </c>
      <c r="AH104">
        <v>9.6199999999999992</v>
      </c>
      <c r="AI104">
        <v>1</v>
      </c>
      <c r="AJ104">
        <v>1</v>
      </c>
      <c r="AK104">
        <v>1</v>
      </c>
      <c r="AL104">
        <v>12.5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28.59</v>
      </c>
      <c r="AU104" t="s">
        <v>3</v>
      </c>
      <c r="AV104">
        <v>1</v>
      </c>
      <c r="AW104">
        <v>2</v>
      </c>
      <c r="AX104">
        <v>34748778</v>
      </c>
      <c r="AY104">
        <v>1</v>
      </c>
      <c r="AZ104">
        <v>0</v>
      </c>
      <c r="BA104">
        <v>107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Y104*Source!I41</f>
        <v>28.59</v>
      </c>
      <c r="CY104">
        <f>AD104</f>
        <v>120.25</v>
      </c>
      <c r="CZ104">
        <f>AH104</f>
        <v>9.6199999999999992</v>
      </c>
      <c r="DA104">
        <f>AL104</f>
        <v>12.5</v>
      </c>
      <c r="DB104">
        <f t="shared" si="21"/>
        <v>275.04000000000002</v>
      </c>
      <c r="DC104">
        <f t="shared" si="22"/>
        <v>0</v>
      </c>
      <c r="GQ104">
        <v>-1</v>
      </c>
      <c r="GR104">
        <v>-1</v>
      </c>
    </row>
    <row r="105" spans="1:200" x14ac:dyDescent="0.2">
      <c r="A105">
        <f>ROW(Source!A41)</f>
        <v>41</v>
      </c>
      <c r="B105">
        <v>34748540</v>
      </c>
      <c r="C105">
        <v>34748777</v>
      </c>
      <c r="D105">
        <v>31709492</v>
      </c>
      <c r="E105">
        <v>1</v>
      </c>
      <c r="F105">
        <v>1</v>
      </c>
      <c r="G105">
        <v>1</v>
      </c>
      <c r="H105">
        <v>1</v>
      </c>
      <c r="I105" t="s">
        <v>230</v>
      </c>
      <c r="J105" t="s">
        <v>3</v>
      </c>
      <c r="K105" t="s">
        <v>231</v>
      </c>
      <c r="L105">
        <v>1191</v>
      </c>
      <c r="N105">
        <v>1013</v>
      </c>
      <c r="O105" t="s">
        <v>227</v>
      </c>
      <c r="P105" t="s">
        <v>227</v>
      </c>
      <c r="Q105">
        <v>1</v>
      </c>
      <c r="W105">
        <v>0</v>
      </c>
      <c r="X105">
        <v>-1417349443</v>
      </c>
      <c r="Y105">
        <v>9.8800000000000008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12.5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9.8800000000000008</v>
      </c>
      <c r="AU105" t="s">
        <v>3</v>
      </c>
      <c r="AV105">
        <v>2</v>
      </c>
      <c r="AW105">
        <v>2</v>
      </c>
      <c r="AX105">
        <v>34748779</v>
      </c>
      <c r="AY105">
        <v>1</v>
      </c>
      <c r="AZ105">
        <v>0</v>
      </c>
      <c r="BA105">
        <v>108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Y105*Source!I41</f>
        <v>9.8800000000000008</v>
      </c>
      <c r="CY105">
        <f>AD105</f>
        <v>0</v>
      </c>
      <c r="CZ105">
        <f>AH105</f>
        <v>0</v>
      </c>
      <c r="DA105">
        <f>AL105</f>
        <v>1</v>
      </c>
      <c r="DB105">
        <f t="shared" si="21"/>
        <v>0</v>
      </c>
      <c r="DC105">
        <f t="shared" si="22"/>
        <v>0</v>
      </c>
      <c r="GQ105">
        <v>-1</v>
      </c>
      <c r="GR105">
        <v>-1</v>
      </c>
    </row>
    <row r="106" spans="1:200" x14ac:dyDescent="0.2">
      <c r="A106">
        <f>ROW(Source!A41)</f>
        <v>41</v>
      </c>
      <c r="B106">
        <v>34748540</v>
      </c>
      <c r="C106">
        <v>34748777</v>
      </c>
      <c r="D106">
        <v>31526753</v>
      </c>
      <c r="E106">
        <v>1</v>
      </c>
      <c r="F106">
        <v>1</v>
      </c>
      <c r="G106">
        <v>1</v>
      </c>
      <c r="H106">
        <v>2</v>
      </c>
      <c r="I106" t="s">
        <v>303</v>
      </c>
      <c r="J106" t="s">
        <v>304</v>
      </c>
      <c r="K106" t="s">
        <v>305</v>
      </c>
      <c r="L106">
        <v>1368</v>
      </c>
      <c r="N106">
        <v>1011</v>
      </c>
      <c r="O106" t="s">
        <v>235</v>
      </c>
      <c r="P106" t="s">
        <v>235</v>
      </c>
      <c r="Q106">
        <v>1</v>
      </c>
      <c r="W106">
        <v>0</v>
      </c>
      <c r="X106">
        <v>-1718674368</v>
      </c>
      <c r="Y106">
        <v>2.67</v>
      </c>
      <c r="AA106">
        <v>0</v>
      </c>
      <c r="AB106">
        <v>1399.88</v>
      </c>
      <c r="AC106">
        <v>13.5</v>
      </c>
      <c r="AD106">
        <v>0</v>
      </c>
      <c r="AE106">
        <v>0</v>
      </c>
      <c r="AF106">
        <v>111.99</v>
      </c>
      <c r="AG106">
        <v>13.5</v>
      </c>
      <c r="AH106">
        <v>0</v>
      </c>
      <c r="AI106">
        <v>1</v>
      </c>
      <c r="AJ106">
        <v>12.5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2.67</v>
      </c>
      <c r="AU106" t="s">
        <v>3</v>
      </c>
      <c r="AV106">
        <v>0</v>
      </c>
      <c r="AW106">
        <v>2</v>
      </c>
      <c r="AX106">
        <v>34748780</v>
      </c>
      <c r="AY106">
        <v>1</v>
      </c>
      <c r="AZ106">
        <v>0</v>
      </c>
      <c r="BA106">
        <v>109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Y106*Source!I41</f>
        <v>2.67</v>
      </c>
      <c r="CY106">
        <f>AB106</f>
        <v>1399.88</v>
      </c>
      <c r="CZ106">
        <f>AF106</f>
        <v>111.99</v>
      </c>
      <c r="DA106">
        <f>AJ106</f>
        <v>12.5</v>
      </c>
      <c r="DB106">
        <f t="shared" si="21"/>
        <v>299.01</v>
      </c>
      <c r="DC106">
        <f t="shared" si="22"/>
        <v>36.049999999999997</v>
      </c>
      <c r="GQ106">
        <v>-1</v>
      </c>
      <c r="GR106">
        <v>-1</v>
      </c>
    </row>
    <row r="107" spans="1:200" x14ac:dyDescent="0.2">
      <c r="A107">
        <f>ROW(Source!A41)</f>
        <v>41</v>
      </c>
      <c r="B107">
        <v>34748540</v>
      </c>
      <c r="C107">
        <v>34748777</v>
      </c>
      <c r="D107">
        <v>31527023</v>
      </c>
      <c r="E107">
        <v>1</v>
      </c>
      <c r="F107">
        <v>1</v>
      </c>
      <c r="G107">
        <v>1</v>
      </c>
      <c r="H107">
        <v>2</v>
      </c>
      <c r="I107" t="s">
        <v>346</v>
      </c>
      <c r="J107" t="s">
        <v>347</v>
      </c>
      <c r="K107" t="s">
        <v>348</v>
      </c>
      <c r="L107">
        <v>1368</v>
      </c>
      <c r="N107">
        <v>1011</v>
      </c>
      <c r="O107" t="s">
        <v>235</v>
      </c>
      <c r="P107" t="s">
        <v>235</v>
      </c>
      <c r="Q107">
        <v>1</v>
      </c>
      <c r="W107">
        <v>0</v>
      </c>
      <c r="X107">
        <v>-2134233284</v>
      </c>
      <c r="Y107">
        <v>5.78</v>
      </c>
      <c r="AA107">
        <v>0</v>
      </c>
      <c r="AB107">
        <v>1027.75</v>
      </c>
      <c r="AC107">
        <v>10.06</v>
      </c>
      <c r="AD107">
        <v>0</v>
      </c>
      <c r="AE107">
        <v>0</v>
      </c>
      <c r="AF107">
        <v>82.22</v>
      </c>
      <c r="AG107">
        <v>10.06</v>
      </c>
      <c r="AH107">
        <v>0</v>
      </c>
      <c r="AI107">
        <v>1</v>
      </c>
      <c r="AJ107">
        <v>12.5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5.78</v>
      </c>
      <c r="AU107" t="s">
        <v>3</v>
      </c>
      <c r="AV107">
        <v>0</v>
      </c>
      <c r="AW107">
        <v>2</v>
      </c>
      <c r="AX107">
        <v>34748781</v>
      </c>
      <c r="AY107">
        <v>1</v>
      </c>
      <c r="AZ107">
        <v>0</v>
      </c>
      <c r="BA107">
        <v>110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Y107*Source!I41</f>
        <v>5.78</v>
      </c>
      <c r="CY107">
        <f>AB107</f>
        <v>1027.75</v>
      </c>
      <c r="CZ107">
        <f>AF107</f>
        <v>82.22</v>
      </c>
      <c r="DA107">
        <f>AJ107</f>
        <v>12.5</v>
      </c>
      <c r="DB107">
        <f t="shared" si="21"/>
        <v>475.23</v>
      </c>
      <c r="DC107">
        <f t="shared" si="22"/>
        <v>58.15</v>
      </c>
      <c r="GQ107">
        <v>-1</v>
      </c>
      <c r="GR107">
        <v>-1</v>
      </c>
    </row>
    <row r="108" spans="1:200" x14ac:dyDescent="0.2">
      <c r="A108">
        <f>ROW(Source!A41)</f>
        <v>41</v>
      </c>
      <c r="B108">
        <v>34748540</v>
      </c>
      <c r="C108">
        <v>34748777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306</v>
      </c>
      <c r="J108" t="s">
        <v>307</v>
      </c>
      <c r="K108" t="s">
        <v>308</v>
      </c>
      <c r="L108">
        <v>1368</v>
      </c>
      <c r="N108">
        <v>1011</v>
      </c>
      <c r="O108" t="s">
        <v>235</v>
      </c>
      <c r="P108" t="s">
        <v>235</v>
      </c>
      <c r="Q108">
        <v>1</v>
      </c>
      <c r="W108">
        <v>0</v>
      </c>
      <c r="X108">
        <v>1372534845</v>
      </c>
      <c r="Y108">
        <v>1.43</v>
      </c>
      <c r="AA108">
        <v>0</v>
      </c>
      <c r="AB108">
        <v>821.38</v>
      </c>
      <c r="AC108">
        <v>11.6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12.5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1.43</v>
      </c>
      <c r="AU108" t="s">
        <v>3</v>
      </c>
      <c r="AV108">
        <v>0</v>
      </c>
      <c r="AW108">
        <v>2</v>
      </c>
      <c r="AX108">
        <v>34748782</v>
      </c>
      <c r="AY108">
        <v>1</v>
      </c>
      <c r="AZ108">
        <v>0</v>
      </c>
      <c r="BA108">
        <v>111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Y108*Source!I41</f>
        <v>1.43</v>
      </c>
      <c r="CY108">
        <f>AB108</f>
        <v>821.38</v>
      </c>
      <c r="CZ108">
        <f>AF108</f>
        <v>65.709999999999994</v>
      </c>
      <c r="DA108">
        <f>AJ108</f>
        <v>12.5</v>
      </c>
      <c r="DB108">
        <f t="shared" si="21"/>
        <v>93.97</v>
      </c>
      <c r="DC108">
        <f t="shared" si="22"/>
        <v>16.59</v>
      </c>
      <c r="GQ108">
        <v>-1</v>
      </c>
      <c r="GR108">
        <v>-1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34748681</v>
      </c>
      <c r="C1">
        <v>34748680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225</v>
      </c>
      <c r="J1" t="s">
        <v>3</v>
      </c>
      <c r="K1" t="s">
        <v>226</v>
      </c>
      <c r="L1">
        <v>1191</v>
      </c>
      <c r="N1">
        <v>1013</v>
      </c>
      <c r="O1" t="s">
        <v>227</v>
      </c>
      <c r="P1" t="s">
        <v>227</v>
      </c>
      <c r="Q1">
        <v>1</v>
      </c>
      <c r="X1">
        <v>5.49</v>
      </c>
      <c r="Y1">
        <v>0</v>
      </c>
      <c r="Z1">
        <v>0</v>
      </c>
      <c r="AA1">
        <v>0</v>
      </c>
      <c r="AB1">
        <v>8.5299999999999994</v>
      </c>
      <c r="AC1">
        <v>0</v>
      </c>
      <c r="AD1">
        <v>1</v>
      </c>
      <c r="AE1">
        <v>1</v>
      </c>
      <c r="AF1" t="s">
        <v>3</v>
      </c>
      <c r="AG1">
        <v>5.49</v>
      </c>
      <c r="AH1">
        <v>2</v>
      </c>
      <c r="AI1">
        <v>34748681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34748682</v>
      </c>
      <c r="C2">
        <v>34748680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349</v>
      </c>
      <c r="J2" t="s">
        <v>3</v>
      </c>
      <c r="K2" t="s">
        <v>350</v>
      </c>
      <c r="L2">
        <v>1348</v>
      </c>
      <c r="N2">
        <v>1009</v>
      </c>
      <c r="O2" t="s">
        <v>288</v>
      </c>
      <c r="P2" t="s">
        <v>288</v>
      </c>
      <c r="Q2">
        <v>1000</v>
      </c>
      <c r="X2">
        <v>6.0000000000000001E-3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3</v>
      </c>
      <c r="AG2">
        <v>6.0000000000000001E-3</v>
      </c>
      <c r="AH2">
        <v>3</v>
      </c>
      <c r="AI2">
        <v>-1</v>
      </c>
      <c r="AJ2" t="s">
        <v>3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34748681</v>
      </c>
      <c r="C3">
        <v>34748680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225</v>
      </c>
      <c r="J3" t="s">
        <v>3</v>
      </c>
      <c r="K3" t="s">
        <v>226</v>
      </c>
      <c r="L3">
        <v>1191</v>
      </c>
      <c r="N3">
        <v>1013</v>
      </c>
      <c r="O3" t="s">
        <v>227</v>
      </c>
      <c r="P3" t="s">
        <v>227</v>
      </c>
      <c r="Q3">
        <v>1</v>
      </c>
      <c r="X3">
        <v>5.49</v>
      </c>
      <c r="Y3">
        <v>0</v>
      </c>
      <c r="Z3">
        <v>0</v>
      </c>
      <c r="AA3">
        <v>0</v>
      </c>
      <c r="AB3">
        <v>8.5299999999999994</v>
      </c>
      <c r="AC3">
        <v>0</v>
      </c>
      <c r="AD3">
        <v>1</v>
      </c>
      <c r="AE3">
        <v>1</v>
      </c>
      <c r="AF3" t="s">
        <v>3</v>
      </c>
      <c r="AG3">
        <v>5.49</v>
      </c>
      <c r="AH3">
        <v>2</v>
      </c>
      <c r="AI3">
        <v>34748681</v>
      </c>
      <c r="AJ3">
        <v>2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34748682</v>
      </c>
      <c r="C4">
        <v>34748680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349</v>
      </c>
      <c r="J4" t="s">
        <v>3</v>
      </c>
      <c r="K4" t="s">
        <v>350</v>
      </c>
      <c r="L4">
        <v>1348</v>
      </c>
      <c r="N4">
        <v>1009</v>
      </c>
      <c r="O4" t="s">
        <v>288</v>
      </c>
      <c r="P4" t="s">
        <v>288</v>
      </c>
      <c r="Q4">
        <v>1000</v>
      </c>
      <c r="X4">
        <v>6.0000000000000001E-3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3</v>
      </c>
      <c r="AG4">
        <v>6.0000000000000001E-3</v>
      </c>
      <c r="AH4">
        <v>3</v>
      </c>
      <c r="AI4">
        <v>-1</v>
      </c>
      <c r="AJ4" t="s">
        <v>3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34748794</v>
      </c>
      <c r="C5">
        <v>34748793</v>
      </c>
      <c r="D5">
        <v>31714858</v>
      </c>
      <c r="E5">
        <v>1</v>
      </c>
      <c r="F5">
        <v>1</v>
      </c>
      <c r="G5">
        <v>1</v>
      </c>
      <c r="H5">
        <v>1</v>
      </c>
      <c r="I5" t="s">
        <v>228</v>
      </c>
      <c r="J5" t="s">
        <v>3</v>
      </c>
      <c r="K5" t="s">
        <v>229</v>
      </c>
      <c r="L5">
        <v>1191</v>
      </c>
      <c r="N5">
        <v>1013</v>
      </c>
      <c r="O5" t="s">
        <v>227</v>
      </c>
      <c r="P5" t="s">
        <v>227</v>
      </c>
      <c r="Q5">
        <v>1</v>
      </c>
      <c r="X5">
        <v>12.18</v>
      </c>
      <c r="Y5">
        <v>0</v>
      </c>
      <c r="Z5">
        <v>0</v>
      </c>
      <c r="AA5">
        <v>0</v>
      </c>
      <c r="AB5">
        <v>10.35</v>
      </c>
      <c r="AC5">
        <v>0</v>
      </c>
      <c r="AD5">
        <v>1</v>
      </c>
      <c r="AE5">
        <v>1</v>
      </c>
      <c r="AF5" t="s">
        <v>3</v>
      </c>
      <c r="AG5">
        <v>12.18</v>
      </c>
      <c r="AH5">
        <v>2</v>
      </c>
      <c r="AI5">
        <v>34748794</v>
      </c>
      <c r="AJ5">
        <v>3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34748795</v>
      </c>
      <c r="C6">
        <v>34748793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230</v>
      </c>
      <c r="J6" t="s">
        <v>3</v>
      </c>
      <c r="K6" t="s">
        <v>231</v>
      </c>
      <c r="L6">
        <v>1191</v>
      </c>
      <c r="N6">
        <v>1013</v>
      </c>
      <c r="O6" t="s">
        <v>227</v>
      </c>
      <c r="P6" t="s">
        <v>227</v>
      </c>
      <c r="Q6">
        <v>1</v>
      </c>
      <c r="X6">
        <v>6.33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3</v>
      </c>
      <c r="AG6">
        <v>6.33</v>
      </c>
      <c r="AH6">
        <v>2</v>
      </c>
      <c r="AI6">
        <v>34748795</v>
      </c>
      <c r="AJ6">
        <v>4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34748796</v>
      </c>
      <c r="C7">
        <v>34748793</v>
      </c>
      <c r="D7">
        <v>31527922</v>
      </c>
      <c r="E7">
        <v>1</v>
      </c>
      <c r="F7">
        <v>1</v>
      </c>
      <c r="G7">
        <v>1</v>
      </c>
      <c r="H7">
        <v>2</v>
      </c>
      <c r="I7" t="s">
        <v>232</v>
      </c>
      <c r="J7" t="s">
        <v>233</v>
      </c>
      <c r="K7" t="s">
        <v>234</v>
      </c>
      <c r="L7">
        <v>1368</v>
      </c>
      <c r="N7">
        <v>1011</v>
      </c>
      <c r="O7" t="s">
        <v>235</v>
      </c>
      <c r="P7" t="s">
        <v>235</v>
      </c>
      <c r="Q7">
        <v>1</v>
      </c>
      <c r="X7">
        <v>6.33</v>
      </c>
      <c r="Y7">
        <v>0</v>
      </c>
      <c r="Z7">
        <v>273.31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6.33</v>
      </c>
      <c r="AH7">
        <v>2</v>
      </c>
      <c r="AI7">
        <v>34748796</v>
      </c>
      <c r="AJ7">
        <v>5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34748797</v>
      </c>
      <c r="C8">
        <v>34748793</v>
      </c>
      <c r="D8">
        <v>31447073</v>
      </c>
      <c r="E8">
        <v>1</v>
      </c>
      <c r="F8">
        <v>1</v>
      </c>
      <c r="G8">
        <v>1</v>
      </c>
      <c r="H8">
        <v>3</v>
      </c>
      <c r="I8" t="s">
        <v>236</v>
      </c>
      <c r="J8" t="s">
        <v>237</v>
      </c>
      <c r="K8" t="s">
        <v>238</v>
      </c>
      <c r="L8">
        <v>1346</v>
      </c>
      <c r="N8">
        <v>1009</v>
      </c>
      <c r="O8" t="s">
        <v>239</v>
      </c>
      <c r="P8" t="s">
        <v>239</v>
      </c>
      <c r="Q8">
        <v>1</v>
      </c>
      <c r="X8">
        <v>0.38</v>
      </c>
      <c r="Y8">
        <v>9.0399999999999991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0.38</v>
      </c>
      <c r="AH8">
        <v>2</v>
      </c>
      <c r="AI8">
        <v>34748797</v>
      </c>
      <c r="AJ8">
        <v>6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34748798</v>
      </c>
      <c r="C9">
        <v>34748793</v>
      </c>
      <c r="D9">
        <v>31474798</v>
      </c>
      <c r="E9">
        <v>1</v>
      </c>
      <c r="F9">
        <v>1</v>
      </c>
      <c r="G9">
        <v>1</v>
      </c>
      <c r="H9">
        <v>3</v>
      </c>
      <c r="I9" t="s">
        <v>240</v>
      </c>
      <c r="J9" t="s">
        <v>241</v>
      </c>
      <c r="K9" t="s">
        <v>242</v>
      </c>
      <c r="L9">
        <v>1339</v>
      </c>
      <c r="N9">
        <v>1007</v>
      </c>
      <c r="O9" t="s">
        <v>243</v>
      </c>
      <c r="P9" t="s">
        <v>243</v>
      </c>
      <c r="Q9">
        <v>1</v>
      </c>
      <c r="X9">
        <v>3.0000000000000001E-3</v>
      </c>
      <c r="Y9">
        <v>180.77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3.0000000000000001E-3</v>
      </c>
      <c r="AH9">
        <v>2</v>
      </c>
      <c r="AI9">
        <v>34748798</v>
      </c>
      <c r="AJ9">
        <v>7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34748799</v>
      </c>
      <c r="C10">
        <v>34748793</v>
      </c>
      <c r="D10">
        <v>31483458</v>
      </c>
      <c r="E10">
        <v>1</v>
      </c>
      <c r="F10">
        <v>1</v>
      </c>
      <c r="G10">
        <v>1</v>
      </c>
      <c r="H10">
        <v>3</v>
      </c>
      <c r="I10" t="s">
        <v>244</v>
      </c>
      <c r="J10" t="s">
        <v>245</v>
      </c>
      <c r="K10" t="s">
        <v>246</v>
      </c>
      <c r="L10">
        <v>1346</v>
      </c>
      <c r="N10">
        <v>1009</v>
      </c>
      <c r="O10" t="s">
        <v>239</v>
      </c>
      <c r="P10" t="s">
        <v>239</v>
      </c>
      <c r="Q10">
        <v>1</v>
      </c>
      <c r="X10">
        <v>0.78</v>
      </c>
      <c r="Y10">
        <v>9.61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0.78</v>
      </c>
      <c r="AH10">
        <v>2</v>
      </c>
      <c r="AI10">
        <v>34748799</v>
      </c>
      <c r="AJ10">
        <v>8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34748800</v>
      </c>
      <c r="C11">
        <v>34748793</v>
      </c>
      <c r="D11">
        <v>31496748</v>
      </c>
      <c r="E11">
        <v>1</v>
      </c>
      <c r="F11">
        <v>1</v>
      </c>
      <c r="G11">
        <v>1</v>
      </c>
      <c r="H11">
        <v>3</v>
      </c>
      <c r="I11" t="s">
        <v>247</v>
      </c>
      <c r="J11" t="s">
        <v>248</v>
      </c>
      <c r="K11" t="s">
        <v>249</v>
      </c>
      <c r="L11">
        <v>1355</v>
      </c>
      <c r="N11">
        <v>1010</v>
      </c>
      <c r="O11" t="s">
        <v>250</v>
      </c>
      <c r="P11" t="s">
        <v>250</v>
      </c>
      <c r="Q11">
        <v>100</v>
      </c>
      <c r="X11">
        <v>0.02</v>
      </c>
      <c r="Y11">
        <v>409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0.02</v>
      </c>
      <c r="AH11">
        <v>2</v>
      </c>
      <c r="AI11">
        <v>34748800</v>
      </c>
      <c r="AJ11">
        <v>9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34748801</v>
      </c>
      <c r="C12">
        <v>34748793</v>
      </c>
      <c r="D12">
        <v>31512220</v>
      </c>
      <c r="E12">
        <v>1</v>
      </c>
      <c r="F12">
        <v>1</v>
      </c>
      <c r="G12">
        <v>1</v>
      </c>
      <c r="H12">
        <v>3</v>
      </c>
      <c r="I12" t="s">
        <v>251</v>
      </c>
      <c r="J12" t="s">
        <v>252</v>
      </c>
      <c r="K12" t="s">
        <v>253</v>
      </c>
      <c r="L12">
        <v>1301</v>
      </c>
      <c r="N12">
        <v>1003</v>
      </c>
      <c r="O12" t="s">
        <v>254</v>
      </c>
      <c r="P12" t="s">
        <v>254</v>
      </c>
      <c r="Q12">
        <v>1</v>
      </c>
      <c r="X12">
        <v>11</v>
      </c>
      <c r="Y12">
        <v>14.5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11</v>
      </c>
      <c r="AH12">
        <v>2</v>
      </c>
      <c r="AI12">
        <v>34748801</v>
      </c>
      <c r="AJ12">
        <v>10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34748802</v>
      </c>
      <c r="C13">
        <v>34748793</v>
      </c>
      <c r="D13">
        <v>31513891</v>
      </c>
      <c r="E13">
        <v>1</v>
      </c>
      <c r="F13">
        <v>1</v>
      </c>
      <c r="G13">
        <v>1</v>
      </c>
      <c r="H13">
        <v>3</v>
      </c>
      <c r="I13" t="s">
        <v>255</v>
      </c>
      <c r="J13" t="s">
        <v>256</v>
      </c>
      <c r="K13" t="s">
        <v>257</v>
      </c>
      <c r="L13">
        <v>1358</v>
      </c>
      <c r="N13">
        <v>1010</v>
      </c>
      <c r="O13" t="s">
        <v>258</v>
      </c>
      <c r="P13" t="s">
        <v>258</v>
      </c>
      <c r="Q13">
        <v>10</v>
      </c>
      <c r="X13">
        <v>0.3</v>
      </c>
      <c r="Y13">
        <v>43.83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0.3</v>
      </c>
      <c r="AH13">
        <v>2</v>
      </c>
      <c r="AI13">
        <v>34748802</v>
      </c>
      <c r="AJ13">
        <v>11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34748794</v>
      </c>
      <c r="C14">
        <v>34748793</v>
      </c>
      <c r="D14">
        <v>31714858</v>
      </c>
      <c r="E14">
        <v>1</v>
      </c>
      <c r="F14">
        <v>1</v>
      </c>
      <c r="G14">
        <v>1</v>
      </c>
      <c r="H14">
        <v>1</v>
      </c>
      <c r="I14" t="s">
        <v>228</v>
      </c>
      <c r="J14" t="s">
        <v>3</v>
      </c>
      <c r="K14" t="s">
        <v>229</v>
      </c>
      <c r="L14">
        <v>1191</v>
      </c>
      <c r="N14">
        <v>1013</v>
      </c>
      <c r="O14" t="s">
        <v>227</v>
      </c>
      <c r="P14" t="s">
        <v>227</v>
      </c>
      <c r="Q14">
        <v>1</v>
      </c>
      <c r="X14">
        <v>12.18</v>
      </c>
      <c r="Y14">
        <v>0</v>
      </c>
      <c r="Z14">
        <v>0</v>
      </c>
      <c r="AA14">
        <v>0</v>
      </c>
      <c r="AB14">
        <v>10.35</v>
      </c>
      <c r="AC14">
        <v>0</v>
      </c>
      <c r="AD14">
        <v>1</v>
      </c>
      <c r="AE14">
        <v>1</v>
      </c>
      <c r="AF14" t="s">
        <v>3</v>
      </c>
      <c r="AG14">
        <v>12.18</v>
      </c>
      <c r="AH14">
        <v>2</v>
      </c>
      <c r="AI14">
        <v>34748794</v>
      </c>
      <c r="AJ14">
        <v>12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34748795</v>
      </c>
      <c r="C15">
        <v>34748793</v>
      </c>
      <c r="D15">
        <v>31709492</v>
      </c>
      <c r="E15">
        <v>1</v>
      </c>
      <c r="F15">
        <v>1</v>
      </c>
      <c r="G15">
        <v>1</v>
      </c>
      <c r="H15">
        <v>1</v>
      </c>
      <c r="I15" t="s">
        <v>230</v>
      </c>
      <c r="J15" t="s">
        <v>3</v>
      </c>
      <c r="K15" t="s">
        <v>231</v>
      </c>
      <c r="L15">
        <v>1191</v>
      </c>
      <c r="N15">
        <v>1013</v>
      </c>
      <c r="O15" t="s">
        <v>227</v>
      </c>
      <c r="P15" t="s">
        <v>227</v>
      </c>
      <c r="Q15">
        <v>1</v>
      </c>
      <c r="X15">
        <v>6.33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3</v>
      </c>
      <c r="AG15">
        <v>6.33</v>
      </c>
      <c r="AH15">
        <v>2</v>
      </c>
      <c r="AI15">
        <v>34748795</v>
      </c>
      <c r="AJ15">
        <v>13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34748796</v>
      </c>
      <c r="C16">
        <v>34748793</v>
      </c>
      <c r="D16">
        <v>31527922</v>
      </c>
      <c r="E16">
        <v>1</v>
      </c>
      <c r="F16">
        <v>1</v>
      </c>
      <c r="G16">
        <v>1</v>
      </c>
      <c r="H16">
        <v>2</v>
      </c>
      <c r="I16" t="s">
        <v>232</v>
      </c>
      <c r="J16" t="s">
        <v>233</v>
      </c>
      <c r="K16" t="s">
        <v>234</v>
      </c>
      <c r="L16">
        <v>1368</v>
      </c>
      <c r="N16">
        <v>1011</v>
      </c>
      <c r="O16" t="s">
        <v>235</v>
      </c>
      <c r="P16" t="s">
        <v>235</v>
      </c>
      <c r="Q16">
        <v>1</v>
      </c>
      <c r="X16">
        <v>6.33</v>
      </c>
      <c r="Y16">
        <v>0</v>
      </c>
      <c r="Z16">
        <v>273.31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6.33</v>
      </c>
      <c r="AH16">
        <v>2</v>
      </c>
      <c r="AI16">
        <v>34748796</v>
      </c>
      <c r="AJ16">
        <v>14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ROW(Source!A27)</f>
        <v>27</v>
      </c>
      <c r="B17">
        <v>34748797</v>
      </c>
      <c r="C17">
        <v>34748793</v>
      </c>
      <c r="D17">
        <v>31447073</v>
      </c>
      <c r="E17">
        <v>1</v>
      </c>
      <c r="F17">
        <v>1</v>
      </c>
      <c r="G17">
        <v>1</v>
      </c>
      <c r="H17">
        <v>3</v>
      </c>
      <c r="I17" t="s">
        <v>236</v>
      </c>
      <c r="J17" t="s">
        <v>237</v>
      </c>
      <c r="K17" t="s">
        <v>238</v>
      </c>
      <c r="L17">
        <v>1346</v>
      </c>
      <c r="N17">
        <v>1009</v>
      </c>
      <c r="O17" t="s">
        <v>239</v>
      </c>
      <c r="P17" t="s">
        <v>239</v>
      </c>
      <c r="Q17">
        <v>1</v>
      </c>
      <c r="X17">
        <v>0.38</v>
      </c>
      <c r="Y17">
        <v>9.0399999999999991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0.38</v>
      </c>
      <c r="AH17">
        <v>2</v>
      </c>
      <c r="AI17">
        <v>34748797</v>
      </c>
      <c r="AJ17">
        <v>15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ROW(Source!A27)</f>
        <v>27</v>
      </c>
      <c r="B18">
        <v>34748798</v>
      </c>
      <c r="C18">
        <v>34748793</v>
      </c>
      <c r="D18">
        <v>31474798</v>
      </c>
      <c r="E18">
        <v>1</v>
      </c>
      <c r="F18">
        <v>1</v>
      </c>
      <c r="G18">
        <v>1</v>
      </c>
      <c r="H18">
        <v>3</v>
      </c>
      <c r="I18" t="s">
        <v>240</v>
      </c>
      <c r="J18" t="s">
        <v>241</v>
      </c>
      <c r="K18" t="s">
        <v>242</v>
      </c>
      <c r="L18">
        <v>1339</v>
      </c>
      <c r="N18">
        <v>1007</v>
      </c>
      <c r="O18" t="s">
        <v>243</v>
      </c>
      <c r="P18" t="s">
        <v>243</v>
      </c>
      <c r="Q18">
        <v>1</v>
      </c>
      <c r="X18">
        <v>3.0000000000000001E-3</v>
      </c>
      <c r="Y18">
        <v>180.77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3.0000000000000001E-3</v>
      </c>
      <c r="AH18">
        <v>2</v>
      </c>
      <c r="AI18">
        <v>34748798</v>
      </c>
      <c r="AJ18">
        <v>16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ROW(Source!A27)</f>
        <v>27</v>
      </c>
      <c r="B19">
        <v>34748799</v>
      </c>
      <c r="C19">
        <v>34748793</v>
      </c>
      <c r="D19">
        <v>31483458</v>
      </c>
      <c r="E19">
        <v>1</v>
      </c>
      <c r="F19">
        <v>1</v>
      </c>
      <c r="G19">
        <v>1</v>
      </c>
      <c r="H19">
        <v>3</v>
      </c>
      <c r="I19" t="s">
        <v>244</v>
      </c>
      <c r="J19" t="s">
        <v>245</v>
      </c>
      <c r="K19" t="s">
        <v>246</v>
      </c>
      <c r="L19">
        <v>1346</v>
      </c>
      <c r="N19">
        <v>1009</v>
      </c>
      <c r="O19" t="s">
        <v>239</v>
      </c>
      <c r="P19" t="s">
        <v>239</v>
      </c>
      <c r="Q19">
        <v>1</v>
      </c>
      <c r="X19">
        <v>0.78</v>
      </c>
      <c r="Y19">
        <v>9.61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0.78</v>
      </c>
      <c r="AH19">
        <v>2</v>
      </c>
      <c r="AI19">
        <v>34748799</v>
      </c>
      <c r="AJ19">
        <v>17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ROW(Source!A27)</f>
        <v>27</v>
      </c>
      <c r="B20">
        <v>34748800</v>
      </c>
      <c r="C20">
        <v>34748793</v>
      </c>
      <c r="D20">
        <v>31496748</v>
      </c>
      <c r="E20">
        <v>1</v>
      </c>
      <c r="F20">
        <v>1</v>
      </c>
      <c r="G20">
        <v>1</v>
      </c>
      <c r="H20">
        <v>3</v>
      </c>
      <c r="I20" t="s">
        <v>247</v>
      </c>
      <c r="J20" t="s">
        <v>248</v>
      </c>
      <c r="K20" t="s">
        <v>249</v>
      </c>
      <c r="L20">
        <v>1355</v>
      </c>
      <c r="N20">
        <v>1010</v>
      </c>
      <c r="O20" t="s">
        <v>250</v>
      </c>
      <c r="P20" t="s">
        <v>250</v>
      </c>
      <c r="Q20">
        <v>100</v>
      </c>
      <c r="X20">
        <v>0.02</v>
      </c>
      <c r="Y20">
        <v>409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0.02</v>
      </c>
      <c r="AH20">
        <v>2</v>
      </c>
      <c r="AI20">
        <v>34748800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ROW(Source!A27)</f>
        <v>27</v>
      </c>
      <c r="B21">
        <v>34748801</v>
      </c>
      <c r="C21">
        <v>34748793</v>
      </c>
      <c r="D21">
        <v>31512220</v>
      </c>
      <c r="E21">
        <v>1</v>
      </c>
      <c r="F21">
        <v>1</v>
      </c>
      <c r="G21">
        <v>1</v>
      </c>
      <c r="H21">
        <v>3</v>
      </c>
      <c r="I21" t="s">
        <v>251</v>
      </c>
      <c r="J21" t="s">
        <v>252</v>
      </c>
      <c r="K21" t="s">
        <v>253</v>
      </c>
      <c r="L21">
        <v>1301</v>
      </c>
      <c r="N21">
        <v>1003</v>
      </c>
      <c r="O21" t="s">
        <v>254</v>
      </c>
      <c r="P21" t="s">
        <v>254</v>
      </c>
      <c r="Q21">
        <v>1</v>
      </c>
      <c r="X21">
        <v>11</v>
      </c>
      <c r="Y21">
        <v>14.5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11</v>
      </c>
      <c r="AH21">
        <v>2</v>
      </c>
      <c r="AI21">
        <v>34748801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ROW(Source!A27)</f>
        <v>27</v>
      </c>
      <c r="B22">
        <v>34748802</v>
      </c>
      <c r="C22">
        <v>34748793</v>
      </c>
      <c r="D22">
        <v>31513891</v>
      </c>
      <c r="E22">
        <v>1</v>
      </c>
      <c r="F22">
        <v>1</v>
      </c>
      <c r="G22">
        <v>1</v>
      </c>
      <c r="H22">
        <v>3</v>
      </c>
      <c r="I22" t="s">
        <v>255</v>
      </c>
      <c r="J22" t="s">
        <v>256</v>
      </c>
      <c r="K22" t="s">
        <v>257</v>
      </c>
      <c r="L22">
        <v>1358</v>
      </c>
      <c r="N22">
        <v>1010</v>
      </c>
      <c r="O22" t="s">
        <v>258</v>
      </c>
      <c r="P22" t="s">
        <v>258</v>
      </c>
      <c r="Q22">
        <v>10</v>
      </c>
      <c r="X22">
        <v>0.3</v>
      </c>
      <c r="Y22">
        <v>43.83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0.3</v>
      </c>
      <c r="AH22">
        <v>2</v>
      </c>
      <c r="AI22">
        <v>34748802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ROW(Source!A28)</f>
        <v>28</v>
      </c>
      <c r="B23">
        <v>34748688</v>
      </c>
      <c r="C23">
        <v>34748687</v>
      </c>
      <c r="D23">
        <v>31714816</v>
      </c>
      <c r="E23">
        <v>1</v>
      </c>
      <c r="F23">
        <v>1</v>
      </c>
      <c r="G23">
        <v>1</v>
      </c>
      <c r="H23">
        <v>1</v>
      </c>
      <c r="I23" t="s">
        <v>259</v>
      </c>
      <c r="J23" t="s">
        <v>3</v>
      </c>
      <c r="K23" t="s">
        <v>260</v>
      </c>
      <c r="L23">
        <v>1191</v>
      </c>
      <c r="N23">
        <v>1013</v>
      </c>
      <c r="O23" t="s">
        <v>227</v>
      </c>
      <c r="P23" t="s">
        <v>227</v>
      </c>
      <c r="Q23">
        <v>1</v>
      </c>
      <c r="X23">
        <v>1.56</v>
      </c>
      <c r="Y23">
        <v>0</v>
      </c>
      <c r="Z23">
        <v>0</v>
      </c>
      <c r="AA23">
        <v>0</v>
      </c>
      <c r="AB23">
        <v>9.51</v>
      </c>
      <c r="AC23">
        <v>0</v>
      </c>
      <c r="AD23">
        <v>1</v>
      </c>
      <c r="AE23">
        <v>1</v>
      </c>
      <c r="AF23" t="s">
        <v>3</v>
      </c>
      <c r="AG23">
        <v>1.56</v>
      </c>
      <c r="AH23">
        <v>2</v>
      </c>
      <c r="AI23">
        <v>34748688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ROW(Source!A28)</f>
        <v>28</v>
      </c>
      <c r="B24">
        <v>34748689</v>
      </c>
      <c r="C24">
        <v>34748687</v>
      </c>
      <c r="D24">
        <v>31528446</v>
      </c>
      <c r="E24">
        <v>1</v>
      </c>
      <c r="F24">
        <v>1</v>
      </c>
      <c r="G24">
        <v>1</v>
      </c>
      <c r="H24">
        <v>2</v>
      </c>
      <c r="I24" t="s">
        <v>261</v>
      </c>
      <c r="J24" t="s">
        <v>262</v>
      </c>
      <c r="K24" t="s">
        <v>263</v>
      </c>
      <c r="L24">
        <v>1368</v>
      </c>
      <c r="N24">
        <v>1011</v>
      </c>
      <c r="O24" t="s">
        <v>235</v>
      </c>
      <c r="P24" t="s">
        <v>235</v>
      </c>
      <c r="Q24">
        <v>1</v>
      </c>
      <c r="X24">
        <v>0.13</v>
      </c>
      <c r="Y24">
        <v>0</v>
      </c>
      <c r="Z24">
        <v>8.1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0.13</v>
      </c>
      <c r="AH24">
        <v>2</v>
      </c>
      <c r="AI24">
        <v>34748689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ROW(Source!A28)</f>
        <v>28</v>
      </c>
      <c r="B25">
        <v>34748690</v>
      </c>
      <c r="C25">
        <v>34748687</v>
      </c>
      <c r="D25">
        <v>31444646</v>
      </c>
      <c r="E25">
        <v>1</v>
      </c>
      <c r="F25">
        <v>1</v>
      </c>
      <c r="G25">
        <v>1</v>
      </c>
      <c r="H25">
        <v>3</v>
      </c>
      <c r="I25" t="s">
        <v>264</v>
      </c>
      <c r="J25" t="s">
        <v>265</v>
      </c>
      <c r="K25" t="s">
        <v>266</v>
      </c>
      <c r="L25">
        <v>1346</v>
      </c>
      <c r="N25">
        <v>1009</v>
      </c>
      <c r="O25" t="s">
        <v>239</v>
      </c>
      <c r="P25" t="s">
        <v>239</v>
      </c>
      <c r="Q25">
        <v>1</v>
      </c>
      <c r="X25">
        <v>6.0000000000000001E-3</v>
      </c>
      <c r="Y25">
        <v>44.97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6.0000000000000001E-3</v>
      </c>
      <c r="AH25">
        <v>2</v>
      </c>
      <c r="AI25">
        <v>34748690</v>
      </c>
      <c r="AJ25">
        <v>23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ROW(Source!A28)</f>
        <v>28</v>
      </c>
      <c r="B26">
        <v>34748691</v>
      </c>
      <c r="C26">
        <v>34748687</v>
      </c>
      <c r="D26">
        <v>31446378</v>
      </c>
      <c r="E26">
        <v>1</v>
      </c>
      <c r="F26">
        <v>1</v>
      </c>
      <c r="G26">
        <v>1</v>
      </c>
      <c r="H26">
        <v>3</v>
      </c>
      <c r="I26" t="s">
        <v>267</v>
      </c>
      <c r="J26" t="s">
        <v>268</v>
      </c>
      <c r="K26" t="s">
        <v>269</v>
      </c>
      <c r="L26">
        <v>1346</v>
      </c>
      <c r="N26">
        <v>1009</v>
      </c>
      <c r="O26" t="s">
        <v>239</v>
      </c>
      <c r="P26" t="s">
        <v>239</v>
      </c>
      <c r="Q26">
        <v>1</v>
      </c>
      <c r="X26">
        <v>1E-3</v>
      </c>
      <c r="Y26">
        <v>11.5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1E-3</v>
      </c>
      <c r="AH26">
        <v>2</v>
      </c>
      <c r="AI26">
        <v>34748691</v>
      </c>
      <c r="AJ26">
        <v>24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ROW(Source!A28)</f>
        <v>28</v>
      </c>
      <c r="B27">
        <v>34748692</v>
      </c>
      <c r="C27">
        <v>34748687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270</v>
      </c>
      <c r="J27" t="s">
        <v>271</v>
      </c>
      <c r="K27" t="s">
        <v>272</v>
      </c>
      <c r="L27">
        <v>1346</v>
      </c>
      <c r="N27">
        <v>1009</v>
      </c>
      <c r="O27" t="s">
        <v>239</v>
      </c>
      <c r="P27" t="s">
        <v>239</v>
      </c>
      <c r="Q27">
        <v>1</v>
      </c>
      <c r="X27">
        <v>1.2E-2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1.2E-2</v>
      </c>
      <c r="AH27">
        <v>2</v>
      </c>
      <c r="AI27">
        <v>34748692</v>
      </c>
      <c r="AJ27">
        <v>25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ROW(Source!A28)</f>
        <v>28</v>
      </c>
      <c r="B28">
        <v>34748693</v>
      </c>
      <c r="C28">
        <v>34748687</v>
      </c>
      <c r="D28">
        <v>31447861</v>
      </c>
      <c r="E28">
        <v>1</v>
      </c>
      <c r="F28">
        <v>1</v>
      </c>
      <c r="G28">
        <v>1</v>
      </c>
      <c r="H28">
        <v>3</v>
      </c>
      <c r="I28" t="s">
        <v>273</v>
      </c>
      <c r="J28" t="s">
        <v>274</v>
      </c>
      <c r="K28" t="s">
        <v>275</v>
      </c>
      <c r="L28">
        <v>1346</v>
      </c>
      <c r="N28">
        <v>1009</v>
      </c>
      <c r="O28" t="s">
        <v>239</v>
      </c>
      <c r="P28" t="s">
        <v>239</v>
      </c>
      <c r="Q28">
        <v>1</v>
      </c>
      <c r="X28">
        <v>7.0000000000000007E-2</v>
      </c>
      <c r="Y28">
        <v>10.57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7.0000000000000007E-2</v>
      </c>
      <c r="AH28">
        <v>2</v>
      </c>
      <c r="AI28">
        <v>34748693</v>
      </c>
      <c r="AJ28">
        <v>26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ROW(Source!A28)</f>
        <v>28</v>
      </c>
      <c r="B29">
        <v>34748694</v>
      </c>
      <c r="C29">
        <v>34748687</v>
      </c>
      <c r="D29">
        <v>31449051</v>
      </c>
      <c r="E29">
        <v>1</v>
      </c>
      <c r="F29">
        <v>1</v>
      </c>
      <c r="G29">
        <v>1</v>
      </c>
      <c r="H29">
        <v>3</v>
      </c>
      <c r="I29" t="s">
        <v>276</v>
      </c>
      <c r="J29" t="s">
        <v>277</v>
      </c>
      <c r="K29" t="s">
        <v>278</v>
      </c>
      <c r="L29">
        <v>1346</v>
      </c>
      <c r="N29">
        <v>1009</v>
      </c>
      <c r="O29" t="s">
        <v>239</v>
      </c>
      <c r="P29" t="s">
        <v>239</v>
      </c>
      <c r="Q29">
        <v>1</v>
      </c>
      <c r="X29">
        <v>4.9000000000000002E-2</v>
      </c>
      <c r="Y29">
        <v>9.0399999999999991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4.9000000000000002E-2</v>
      </c>
      <c r="AH29">
        <v>2</v>
      </c>
      <c r="AI29">
        <v>34748694</v>
      </c>
      <c r="AJ29">
        <v>27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ROW(Source!A28)</f>
        <v>28</v>
      </c>
      <c r="B30">
        <v>34748695</v>
      </c>
      <c r="C30">
        <v>34748687</v>
      </c>
      <c r="D30">
        <v>31449183</v>
      </c>
      <c r="E30">
        <v>1</v>
      </c>
      <c r="F30">
        <v>1</v>
      </c>
      <c r="G30">
        <v>1</v>
      </c>
      <c r="H30">
        <v>3</v>
      </c>
      <c r="I30" t="s">
        <v>279</v>
      </c>
      <c r="J30" t="s">
        <v>280</v>
      </c>
      <c r="K30" t="s">
        <v>281</v>
      </c>
      <c r="L30">
        <v>1355</v>
      </c>
      <c r="N30">
        <v>1010</v>
      </c>
      <c r="O30" t="s">
        <v>250</v>
      </c>
      <c r="P30" t="s">
        <v>250</v>
      </c>
      <c r="Q30">
        <v>100</v>
      </c>
      <c r="X30">
        <v>1.4E-2</v>
      </c>
      <c r="Y30">
        <v>86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1.4E-2</v>
      </c>
      <c r="AH30">
        <v>2</v>
      </c>
      <c r="AI30">
        <v>34748695</v>
      </c>
      <c r="AJ30">
        <v>28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ROW(Source!A28)</f>
        <v>28</v>
      </c>
      <c r="B31">
        <v>34748696</v>
      </c>
      <c r="C31">
        <v>34748687</v>
      </c>
      <c r="D31">
        <v>31450103</v>
      </c>
      <c r="E31">
        <v>1</v>
      </c>
      <c r="F31">
        <v>1</v>
      </c>
      <c r="G31">
        <v>1</v>
      </c>
      <c r="H31">
        <v>3</v>
      </c>
      <c r="I31" t="s">
        <v>282</v>
      </c>
      <c r="J31" t="s">
        <v>283</v>
      </c>
      <c r="K31" t="s">
        <v>284</v>
      </c>
      <c r="L31">
        <v>1346</v>
      </c>
      <c r="N31">
        <v>1009</v>
      </c>
      <c r="O31" t="s">
        <v>239</v>
      </c>
      <c r="P31" t="s">
        <v>239</v>
      </c>
      <c r="Q31">
        <v>1</v>
      </c>
      <c r="X31">
        <v>1E-3</v>
      </c>
      <c r="Y31">
        <v>133.05000000000001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1E-3</v>
      </c>
      <c r="AH31">
        <v>2</v>
      </c>
      <c r="AI31">
        <v>34748696</v>
      </c>
      <c r="AJ31">
        <v>29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ROW(Source!A28)</f>
        <v>28</v>
      </c>
      <c r="B32">
        <v>34748697</v>
      </c>
      <c r="C32">
        <v>34748687</v>
      </c>
      <c r="D32">
        <v>31467744</v>
      </c>
      <c r="E32">
        <v>1</v>
      </c>
      <c r="F32">
        <v>1</v>
      </c>
      <c r="G32">
        <v>1</v>
      </c>
      <c r="H32">
        <v>3</v>
      </c>
      <c r="I32" t="s">
        <v>285</v>
      </c>
      <c r="J32" t="s">
        <v>286</v>
      </c>
      <c r="K32" t="s">
        <v>287</v>
      </c>
      <c r="L32">
        <v>1348</v>
      </c>
      <c r="N32">
        <v>1009</v>
      </c>
      <c r="O32" t="s">
        <v>288</v>
      </c>
      <c r="P32" t="s">
        <v>288</v>
      </c>
      <c r="Q32">
        <v>1000</v>
      </c>
      <c r="X32">
        <v>1E-3</v>
      </c>
      <c r="Y32">
        <v>11500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1E-3</v>
      </c>
      <c r="AH32">
        <v>2</v>
      </c>
      <c r="AI32">
        <v>34748697</v>
      </c>
      <c r="AJ32">
        <v>30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ROW(Source!A28)</f>
        <v>28</v>
      </c>
      <c r="B33">
        <v>34748698</v>
      </c>
      <c r="C33">
        <v>34748687</v>
      </c>
      <c r="D33">
        <v>31482923</v>
      </c>
      <c r="E33">
        <v>1</v>
      </c>
      <c r="F33">
        <v>1</v>
      </c>
      <c r="G33">
        <v>1</v>
      </c>
      <c r="H33">
        <v>3</v>
      </c>
      <c r="I33" t="s">
        <v>289</v>
      </c>
      <c r="J33" t="s">
        <v>290</v>
      </c>
      <c r="K33" t="s">
        <v>291</v>
      </c>
      <c r="L33">
        <v>1346</v>
      </c>
      <c r="N33">
        <v>1009</v>
      </c>
      <c r="O33" t="s">
        <v>239</v>
      </c>
      <c r="P33" t="s">
        <v>239</v>
      </c>
      <c r="Q33">
        <v>1</v>
      </c>
      <c r="X33">
        <v>3.5999999999999997E-2</v>
      </c>
      <c r="Y33">
        <v>28.6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3.5999999999999997E-2</v>
      </c>
      <c r="AH33">
        <v>2</v>
      </c>
      <c r="AI33">
        <v>34748698</v>
      </c>
      <c r="AJ33">
        <v>31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ROW(Source!A28)</f>
        <v>28</v>
      </c>
      <c r="B34">
        <v>34748699</v>
      </c>
      <c r="C34">
        <v>34748687</v>
      </c>
      <c r="D34">
        <v>31483076</v>
      </c>
      <c r="E34">
        <v>1</v>
      </c>
      <c r="F34">
        <v>1</v>
      </c>
      <c r="G34">
        <v>1</v>
      </c>
      <c r="H34">
        <v>3</v>
      </c>
      <c r="I34" t="s">
        <v>292</v>
      </c>
      <c r="J34" t="s">
        <v>293</v>
      </c>
      <c r="K34" t="s">
        <v>294</v>
      </c>
      <c r="L34">
        <v>1346</v>
      </c>
      <c r="N34">
        <v>1009</v>
      </c>
      <c r="O34" t="s">
        <v>239</v>
      </c>
      <c r="P34" t="s">
        <v>239</v>
      </c>
      <c r="Q34">
        <v>1</v>
      </c>
      <c r="X34">
        <v>6.0000000000000001E-3</v>
      </c>
      <c r="Y34">
        <v>35.630000000000003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6.0000000000000001E-3</v>
      </c>
      <c r="AH34">
        <v>2</v>
      </c>
      <c r="AI34">
        <v>34748699</v>
      </c>
      <c r="AJ34">
        <v>32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ROW(Source!A28)</f>
        <v>28</v>
      </c>
      <c r="B35">
        <v>34748700</v>
      </c>
      <c r="C35">
        <v>34748687</v>
      </c>
      <c r="D35">
        <v>31496552</v>
      </c>
      <c r="E35">
        <v>1</v>
      </c>
      <c r="F35">
        <v>1</v>
      </c>
      <c r="G35">
        <v>1</v>
      </c>
      <c r="H35">
        <v>3</v>
      </c>
      <c r="I35" t="s">
        <v>295</v>
      </c>
      <c r="J35" t="s">
        <v>296</v>
      </c>
      <c r="K35" t="s">
        <v>297</v>
      </c>
      <c r="L35">
        <v>1358</v>
      </c>
      <c r="N35">
        <v>1010</v>
      </c>
      <c r="O35" t="s">
        <v>258</v>
      </c>
      <c r="P35" t="s">
        <v>258</v>
      </c>
      <c r="Q35">
        <v>10</v>
      </c>
      <c r="X35">
        <v>0.1</v>
      </c>
      <c r="Y35">
        <v>39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0.1</v>
      </c>
      <c r="AH35">
        <v>2</v>
      </c>
      <c r="AI35">
        <v>34748700</v>
      </c>
      <c r="AJ35">
        <v>33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ROW(Source!A28)</f>
        <v>28</v>
      </c>
      <c r="B36">
        <v>34748701</v>
      </c>
      <c r="C36">
        <v>34748687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298</v>
      </c>
      <c r="J36" t="s">
        <v>3</v>
      </c>
      <c r="K36" t="s">
        <v>299</v>
      </c>
      <c r="L36">
        <v>1374</v>
      </c>
      <c r="N36">
        <v>1013</v>
      </c>
      <c r="O36" t="s">
        <v>300</v>
      </c>
      <c r="P36" t="s">
        <v>300</v>
      </c>
      <c r="Q36">
        <v>1</v>
      </c>
      <c r="X36">
        <v>0.3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0.3</v>
      </c>
      <c r="AH36">
        <v>2</v>
      </c>
      <c r="AI36">
        <v>34748701</v>
      </c>
      <c r="AJ36">
        <v>34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ROW(Source!A29)</f>
        <v>29</v>
      </c>
      <c r="B37">
        <v>34748688</v>
      </c>
      <c r="C37">
        <v>34748687</v>
      </c>
      <c r="D37">
        <v>31714816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227</v>
      </c>
      <c r="P37" t="s">
        <v>227</v>
      </c>
      <c r="Q37">
        <v>1</v>
      </c>
      <c r="X37">
        <v>1.56</v>
      </c>
      <c r="Y37">
        <v>0</v>
      </c>
      <c r="Z37">
        <v>0</v>
      </c>
      <c r="AA37">
        <v>0</v>
      </c>
      <c r="AB37">
        <v>9.51</v>
      </c>
      <c r="AC37">
        <v>0</v>
      </c>
      <c r="AD37">
        <v>1</v>
      </c>
      <c r="AE37">
        <v>1</v>
      </c>
      <c r="AF37" t="s">
        <v>3</v>
      </c>
      <c r="AG37">
        <v>1.56</v>
      </c>
      <c r="AH37">
        <v>2</v>
      </c>
      <c r="AI37">
        <v>34748688</v>
      </c>
      <c r="AJ37">
        <v>35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ROW(Source!A29)</f>
        <v>29</v>
      </c>
      <c r="B38">
        <v>34748689</v>
      </c>
      <c r="C38">
        <v>34748687</v>
      </c>
      <c r="D38">
        <v>31528446</v>
      </c>
      <c r="E38">
        <v>1</v>
      </c>
      <c r="F38">
        <v>1</v>
      </c>
      <c r="G38">
        <v>1</v>
      </c>
      <c r="H38">
        <v>2</v>
      </c>
      <c r="I38" t="s">
        <v>261</v>
      </c>
      <c r="J38" t="s">
        <v>262</v>
      </c>
      <c r="K38" t="s">
        <v>263</v>
      </c>
      <c r="L38">
        <v>1368</v>
      </c>
      <c r="N38">
        <v>1011</v>
      </c>
      <c r="O38" t="s">
        <v>235</v>
      </c>
      <c r="P38" t="s">
        <v>235</v>
      </c>
      <c r="Q38">
        <v>1</v>
      </c>
      <c r="X38">
        <v>0.13</v>
      </c>
      <c r="Y38">
        <v>0</v>
      </c>
      <c r="Z38">
        <v>8.1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0.13</v>
      </c>
      <c r="AH38">
        <v>2</v>
      </c>
      <c r="AI38">
        <v>34748689</v>
      </c>
      <c r="AJ38">
        <v>36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ROW(Source!A29)</f>
        <v>29</v>
      </c>
      <c r="B39">
        <v>34748690</v>
      </c>
      <c r="C39">
        <v>34748687</v>
      </c>
      <c r="D39">
        <v>31444646</v>
      </c>
      <c r="E39">
        <v>1</v>
      </c>
      <c r="F39">
        <v>1</v>
      </c>
      <c r="G39">
        <v>1</v>
      </c>
      <c r="H39">
        <v>3</v>
      </c>
      <c r="I39" t="s">
        <v>264</v>
      </c>
      <c r="J39" t="s">
        <v>265</v>
      </c>
      <c r="K39" t="s">
        <v>266</v>
      </c>
      <c r="L39">
        <v>1346</v>
      </c>
      <c r="N39">
        <v>1009</v>
      </c>
      <c r="O39" t="s">
        <v>239</v>
      </c>
      <c r="P39" t="s">
        <v>239</v>
      </c>
      <c r="Q39">
        <v>1</v>
      </c>
      <c r="X39">
        <v>6.0000000000000001E-3</v>
      </c>
      <c r="Y39">
        <v>44.97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6.0000000000000001E-3</v>
      </c>
      <c r="AH39">
        <v>2</v>
      </c>
      <c r="AI39">
        <v>34748690</v>
      </c>
      <c r="AJ39">
        <v>37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ROW(Source!A29)</f>
        <v>29</v>
      </c>
      <c r="B40">
        <v>34748691</v>
      </c>
      <c r="C40">
        <v>34748687</v>
      </c>
      <c r="D40">
        <v>31446378</v>
      </c>
      <c r="E40">
        <v>1</v>
      </c>
      <c r="F40">
        <v>1</v>
      </c>
      <c r="G40">
        <v>1</v>
      </c>
      <c r="H40">
        <v>3</v>
      </c>
      <c r="I40" t="s">
        <v>267</v>
      </c>
      <c r="J40" t="s">
        <v>268</v>
      </c>
      <c r="K40" t="s">
        <v>269</v>
      </c>
      <c r="L40">
        <v>1346</v>
      </c>
      <c r="N40">
        <v>1009</v>
      </c>
      <c r="O40" t="s">
        <v>239</v>
      </c>
      <c r="P40" t="s">
        <v>239</v>
      </c>
      <c r="Q40">
        <v>1</v>
      </c>
      <c r="X40">
        <v>1E-3</v>
      </c>
      <c r="Y40">
        <v>11.5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1E-3</v>
      </c>
      <c r="AH40">
        <v>2</v>
      </c>
      <c r="AI40">
        <v>34748691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ROW(Source!A29)</f>
        <v>29</v>
      </c>
      <c r="B41">
        <v>34748692</v>
      </c>
      <c r="C41">
        <v>34748687</v>
      </c>
      <c r="D41">
        <v>31446697</v>
      </c>
      <c r="E41">
        <v>1</v>
      </c>
      <c r="F41">
        <v>1</v>
      </c>
      <c r="G41">
        <v>1</v>
      </c>
      <c r="H41">
        <v>3</v>
      </c>
      <c r="I41" t="s">
        <v>270</v>
      </c>
      <c r="J41" t="s">
        <v>271</v>
      </c>
      <c r="K41" t="s">
        <v>272</v>
      </c>
      <c r="L41">
        <v>1346</v>
      </c>
      <c r="N41">
        <v>1009</v>
      </c>
      <c r="O41" t="s">
        <v>239</v>
      </c>
      <c r="P41" t="s">
        <v>239</v>
      </c>
      <c r="Q41">
        <v>1</v>
      </c>
      <c r="X41">
        <v>1.2E-2</v>
      </c>
      <c r="Y41">
        <v>30.4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1.2E-2</v>
      </c>
      <c r="AH41">
        <v>2</v>
      </c>
      <c r="AI41">
        <v>34748692</v>
      </c>
      <c r="AJ41">
        <v>39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ROW(Source!A29)</f>
        <v>29</v>
      </c>
      <c r="B42">
        <v>34748693</v>
      </c>
      <c r="C42">
        <v>34748687</v>
      </c>
      <c r="D42">
        <v>31447861</v>
      </c>
      <c r="E42">
        <v>1</v>
      </c>
      <c r="F42">
        <v>1</v>
      </c>
      <c r="G42">
        <v>1</v>
      </c>
      <c r="H42">
        <v>3</v>
      </c>
      <c r="I42" t="s">
        <v>273</v>
      </c>
      <c r="J42" t="s">
        <v>274</v>
      </c>
      <c r="K42" t="s">
        <v>275</v>
      </c>
      <c r="L42">
        <v>1346</v>
      </c>
      <c r="N42">
        <v>1009</v>
      </c>
      <c r="O42" t="s">
        <v>239</v>
      </c>
      <c r="P42" t="s">
        <v>239</v>
      </c>
      <c r="Q42">
        <v>1</v>
      </c>
      <c r="X42">
        <v>7.0000000000000007E-2</v>
      </c>
      <c r="Y42">
        <v>10.57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7.0000000000000007E-2</v>
      </c>
      <c r="AH42">
        <v>2</v>
      </c>
      <c r="AI42">
        <v>34748693</v>
      </c>
      <c r="AJ42">
        <v>40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ROW(Source!A29)</f>
        <v>29</v>
      </c>
      <c r="B43">
        <v>34748694</v>
      </c>
      <c r="C43">
        <v>34748687</v>
      </c>
      <c r="D43">
        <v>31449051</v>
      </c>
      <c r="E43">
        <v>1</v>
      </c>
      <c r="F43">
        <v>1</v>
      </c>
      <c r="G43">
        <v>1</v>
      </c>
      <c r="H43">
        <v>3</v>
      </c>
      <c r="I43" t="s">
        <v>276</v>
      </c>
      <c r="J43" t="s">
        <v>277</v>
      </c>
      <c r="K43" t="s">
        <v>278</v>
      </c>
      <c r="L43">
        <v>1346</v>
      </c>
      <c r="N43">
        <v>1009</v>
      </c>
      <c r="O43" t="s">
        <v>239</v>
      </c>
      <c r="P43" t="s">
        <v>239</v>
      </c>
      <c r="Q43">
        <v>1</v>
      </c>
      <c r="X43">
        <v>4.9000000000000002E-2</v>
      </c>
      <c r="Y43">
        <v>9.0399999999999991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4.9000000000000002E-2</v>
      </c>
      <c r="AH43">
        <v>2</v>
      </c>
      <c r="AI43">
        <v>34748694</v>
      </c>
      <c r="AJ43">
        <v>41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ROW(Source!A29)</f>
        <v>29</v>
      </c>
      <c r="B44">
        <v>34748695</v>
      </c>
      <c r="C44">
        <v>34748687</v>
      </c>
      <c r="D44">
        <v>31449183</v>
      </c>
      <c r="E44">
        <v>1</v>
      </c>
      <c r="F44">
        <v>1</v>
      </c>
      <c r="G44">
        <v>1</v>
      </c>
      <c r="H44">
        <v>3</v>
      </c>
      <c r="I44" t="s">
        <v>279</v>
      </c>
      <c r="J44" t="s">
        <v>280</v>
      </c>
      <c r="K44" t="s">
        <v>281</v>
      </c>
      <c r="L44">
        <v>1355</v>
      </c>
      <c r="N44">
        <v>1010</v>
      </c>
      <c r="O44" t="s">
        <v>250</v>
      </c>
      <c r="P44" t="s">
        <v>250</v>
      </c>
      <c r="Q44">
        <v>100</v>
      </c>
      <c r="X44">
        <v>1.4E-2</v>
      </c>
      <c r="Y44">
        <v>86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1.4E-2</v>
      </c>
      <c r="AH44">
        <v>2</v>
      </c>
      <c r="AI44">
        <v>34748695</v>
      </c>
      <c r="AJ44">
        <v>42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ROW(Source!A29)</f>
        <v>29</v>
      </c>
      <c r="B45">
        <v>34748696</v>
      </c>
      <c r="C45">
        <v>34748687</v>
      </c>
      <c r="D45">
        <v>31450103</v>
      </c>
      <c r="E45">
        <v>1</v>
      </c>
      <c r="F45">
        <v>1</v>
      </c>
      <c r="G45">
        <v>1</v>
      </c>
      <c r="H45">
        <v>3</v>
      </c>
      <c r="I45" t="s">
        <v>282</v>
      </c>
      <c r="J45" t="s">
        <v>283</v>
      </c>
      <c r="K45" t="s">
        <v>284</v>
      </c>
      <c r="L45">
        <v>1346</v>
      </c>
      <c r="N45">
        <v>1009</v>
      </c>
      <c r="O45" t="s">
        <v>239</v>
      </c>
      <c r="P45" t="s">
        <v>239</v>
      </c>
      <c r="Q45">
        <v>1</v>
      </c>
      <c r="X45">
        <v>1E-3</v>
      </c>
      <c r="Y45">
        <v>133.05000000000001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1E-3</v>
      </c>
      <c r="AH45">
        <v>2</v>
      </c>
      <c r="AI45">
        <v>34748696</v>
      </c>
      <c r="AJ45">
        <v>43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ROW(Source!A29)</f>
        <v>29</v>
      </c>
      <c r="B46">
        <v>34748697</v>
      </c>
      <c r="C46">
        <v>34748687</v>
      </c>
      <c r="D46">
        <v>31467744</v>
      </c>
      <c r="E46">
        <v>1</v>
      </c>
      <c r="F46">
        <v>1</v>
      </c>
      <c r="G46">
        <v>1</v>
      </c>
      <c r="H46">
        <v>3</v>
      </c>
      <c r="I46" t="s">
        <v>285</v>
      </c>
      <c r="J46" t="s">
        <v>286</v>
      </c>
      <c r="K46" t="s">
        <v>287</v>
      </c>
      <c r="L46">
        <v>1348</v>
      </c>
      <c r="N46">
        <v>1009</v>
      </c>
      <c r="O46" t="s">
        <v>288</v>
      </c>
      <c r="P46" t="s">
        <v>288</v>
      </c>
      <c r="Q46">
        <v>1000</v>
      </c>
      <c r="X46">
        <v>1E-3</v>
      </c>
      <c r="Y46">
        <v>11500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1E-3</v>
      </c>
      <c r="AH46">
        <v>2</v>
      </c>
      <c r="AI46">
        <v>34748697</v>
      </c>
      <c r="AJ46">
        <v>44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ROW(Source!A29)</f>
        <v>29</v>
      </c>
      <c r="B47">
        <v>34748698</v>
      </c>
      <c r="C47">
        <v>34748687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289</v>
      </c>
      <c r="J47" t="s">
        <v>290</v>
      </c>
      <c r="K47" t="s">
        <v>291</v>
      </c>
      <c r="L47">
        <v>1346</v>
      </c>
      <c r="N47">
        <v>1009</v>
      </c>
      <c r="O47" t="s">
        <v>239</v>
      </c>
      <c r="P47" t="s">
        <v>239</v>
      </c>
      <c r="Q47">
        <v>1</v>
      </c>
      <c r="X47">
        <v>3.5999999999999997E-2</v>
      </c>
      <c r="Y47">
        <v>28.6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3.5999999999999997E-2</v>
      </c>
      <c r="AH47">
        <v>2</v>
      </c>
      <c r="AI47">
        <v>34748698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ROW(Source!A29)</f>
        <v>29</v>
      </c>
      <c r="B48">
        <v>34748699</v>
      </c>
      <c r="C48">
        <v>34748687</v>
      </c>
      <c r="D48">
        <v>31483076</v>
      </c>
      <c r="E48">
        <v>1</v>
      </c>
      <c r="F48">
        <v>1</v>
      </c>
      <c r="G48">
        <v>1</v>
      </c>
      <c r="H48">
        <v>3</v>
      </c>
      <c r="I48" t="s">
        <v>292</v>
      </c>
      <c r="J48" t="s">
        <v>293</v>
      </c>
      <c r="K48" t="s">
        <v>294</v>
      </c>
      <c r="L48">
        <v>1346</v>
      </c>
      <c r="N48">
        <v>1009</v>
      </c>
      <c r="O48" t="s">
        <v>239</v>
      </c>
      <c r="P48" t="s">
        <v>239</v>
      </c>
      <c r="Q48">
        <v>1</v>
      </c>
      <c r="X48">
        <v>6.0000000000000001E-3</v>
      </c>
      <c r="Y48">
        <v>35.630000000000003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6.0000000000000001E-3</v>
      </c>
      <c r="AH48">
        <v>2</v>
      </c>
      <c r="AI48">
        <v>34748699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ROW(Source!A29)</f>
        <v>29</v>
      </c>
      <c r="B49">
        <v>34748700</v>
      </c>
      <c r="C49">
        <v>34748687</v>
      </c>
      <c r="D49">
        <v>31496552</v>
      </c>
      <c r="E49">
        <v>1</v>
      </c>
      <c r="F49">
        <v>1</v>
      </c>
      <c r="G49">
        <v>1</v>
      </c>
      <c r="H49">
        <v>3</v>
      </c>
      <c r="I49" t="s">
        <v>295</v>
      </c>
      <c r="J49" t="s">
        <v>296</v>
      </c>
      <c r="K49" t="s">
        <v>297</v>
      </c>
      <c r="L49">
        <v>1358</v>
      </c>
      <c r="N49">
        <v>1010</v>
      </c>
      <c r="O49" t="s">
        <v>258</v>
      </c>
      <c r="P49" t="s">
        <v>258</v>
      </c>
      <c r="Q49">
        <v>10</v>
      </c>
      <c r="X49">
        <v>0.1</v>
      </c>
      <c r="Y49">
        <v>39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0.1</v>
      </c>
      <c r="AH49">
        <v>2</v>
      </c>
      <c r="AI49">
        <v>34748700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ROW(Source!A29)</f>
        <v>29</v>
      </c>
      <c r="B50">
        <v>34748701</v>
      </c>
      <c r="C50">
        <v>34748687</v>
      </c>
      <c r="D50">
        <v>31443668</v>
      </c>
      <c r="E50">
        <v>17</v>
      </c>
      <c r="F50">
        <v>1</v>
      </c>
      <c r="G50">
        <v>1</v>
      </c>
      <c r="H50">
        <v>3</v>
      </c>
      <c r="I50" t="s">
        <v>298</v>
      </c>
      <c r="J50" t="s">
        <v>3</v>
      </c>
      <c r="K50" t="s">
        <v>299</v>
      </c>
      <c r="L50">
        <v>1374</v>
      </c>
      <c r="N50">
        <v>1013</v>
      </c>
      <c r="O50" t="s">
        <v>300</v>
      </c>
      <c r="P50" t="s">
        <v>300</v>
      </c>
      <c r="Q50">
        <v>1</v>
      </c>
      <c r="X50">
        <v>0.3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0.3</v>
      </c>
      <c r="AH50">
        <v>2</v>
      </c>
      <c r="AI50">
        <v>34748701</v>
      </c>
      <c r="AJ50">
        <v>48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ROW(Source!A30)</f>
        <v>30</v>
      </c>
      <c r="B51">
        <v>34748705</v>
      </c>
      <c r="C51">
        <v>34748704</v>
      </c>
      <c r="D51">
        <v>31725395</v>
      </c>
      <c r="E51">
        <v>1</v>
      </c>
      <c r="F51">
        <v>1</v>
      </c>
      <c r="G51">
        <v>1</v>
      </c>
      <c r="H51">
        <v>1</v>
      </c>
      <c r="I51" t="s">
        <v>301</v>
      </c>
      <c r="J51" t="s">
        <v>3</v>
      </c>
      <c r="K51" t="s">
        <v>302</v>
      </c>
      <c r="L51">
        <v>1191</v>
      </c>
      <c r="N51">
        <v>1013</v>
      </c>
      <c r="O51" t="s">
        <v>227</v>
      </c>
      <c r="P51" t="s">
        <v>227</v>
      </c>
      <c r="Q51">
        <v>1</v>
      </c>
      <c r="X51">
        <v>34.56</v>
      </c>
      <c r="Y51">
        <v>0</v>
      </c>
      <c r="Z51">
        <v>0</v>
      </c>
      <c r="AA51">
        <v>0</v>
      </c>
      <c r="AB51">
        <v>9.92</v>
      </c>
      <c r="AC51">
        <v>0</v>
      </c>
      <c r="AD51">
        <v>1</v>
      </c>
      <c r="AE51">
        <v>1</v>
      </c>
      <c r="AF51" t="s">
        <v>3</v>
      </c>
      <c r="AG51">
        <v>34.56</v>
      </c>
      <c r="AH51">
        <v>2</v>
      </c>
      <c r="AI51">
        <v>34748705</v>
      </c>
      <c r="AJ51">
        <v>49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ROW(Source!A30)</f>
        <v>30</v>
      </c>
      <c r="B52">
        <v>34748706</v>
      </c>
      <c r="C52">
        <v>34748704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230</v>
      </c>
      <c r="J52" t="s">
        <v>3</v>
      </c>
      <c r="K52" t="s">
        <v>231</v>
      </c>
      <c r="L52">
        <v>1191</v>
      </c>
      <c r="N52">
        <v>1013</v>
      </c>
      <c r="O52" t="s">
        <v>227</v>
      </c>
      <c r="P52" t="s">
        <v>227</v>
      </c>
      <c r="Q52">
        <v>1</v>
      </c>
      <c r="X52">
        <v>0.05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3</v>
      </c>
      <c r="AG52">
        <v>0.05</v>
      </c>
      <c r="AH52">
        <v>2</v>
      </c>
      <c r="AI52">
        <v>34748706</v>
      </c>
      <c r="AJ52">
        <v>50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34748707</v>
      </c>
      <c r="C53">
        <v>34748704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303</v>
      </c>
      <c r="J53" t="s">
        <v>304</v>
      </c>
      <c r="K53" t="s">
        <v>305</v>
      </c>
      <c r="L53">
        <v>1368</v>
      </c>
      <c r="N53">
        <v>1011</v>
      </c>
      <c r="O53" t="s">
        <v>235</v>
      </c>
      <c r="P53" t="s">
        <v>235</v>
      </c>
      <c r="Q53">
        <v>1</v>
      </c>
      <c r="X53">
        <v>0.03</v>
      </c>
      <c r="Y53">
        <v>0</v>
      </c>
      <c r="Z53">
        <v>111.99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0.03</v>
      </c>
      <c r="AH53">
        <v>2</v>
      </c>
      <c r="AI53">
        <v>34748707</v>
      </c>
      <c r="AJ53">
        <v>51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34748708</v>
      </c>
      <c r="C54">
        <v>34748704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306</v>
      </c>
      <c r="J54" t="s">
        <v>307</v>
      </c>
      <c r="K54" t="s">
        <v>308</v>
      </c>
      <c r="L54">
        <v>1368</v>
      </c>
      <c r="N54">
        <v>1011</v>
      </c>
      <c r="O54" t="s">
        <v>235</v>
      </c>
      <c r="P54" t="s">
        <v>235</v>
      </c>
      <c r="Q54">
        <v>1</v>
      </c>
      <c r="X54">
        <v>0.02</v>
      </c>
      <c r="Y54">
        <v>0</v>
      </c>
      <c r="Z54">
        <v>65.709999999999994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0.02</v>
      </c>
      <c r="AH54">
        <v>2</v>
      </c>
      <c r="AI54">
        <v>34748708</v>
      </c>
      <c r="AJ54">
        <v>52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ROW(Source!A30)</f>
        <v>30</v>
      </c>
      <c r="B55">
        <v>34748709</v>
      </c>
      <c r="C55">
        <v>34748704</v>
      </c>
      <c r="D55">
        <v>31446697</v>
      </c>
      <c r="E55">
        <v>1</v>
      </c>
      <c r="F55">
        <v>1</v>
      </c>
      <c r="G55">
        <v>1</v>
      </c>
      <c r="H55">
        <v>3</v>
      </c>
      <c r="I55" t="s">
        <v>270</v>
      </c>
      <c r="J55" t="s">
        <v>271</v>
      </c>
      <c r="K55" t="s">
        <v>272</v>
      </c>
      <c r="L55">
        <v>1346</v>
      </c>
      <c r="N55">
        <v>1009</v>
      </c>
      <c r="O55" t="s">
        <v>239</v>
      </c>
      <c r="P55" t="s">
        <v>239</v>
      </c>
      <c r="Q55">
        <v>1</v>
      </c>
      <c r="X55">
        <v>0.11</v>
      </c>
      <c r="Y55">
        <v>30.4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0.11</v>
      </c>
      <c r="AH55">
        <v>2</v>
      </c>
      <c r="AI55">
        <v>34748709</v>
      </c>
      <c r="AJ55">
        <v>53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ROW(Source!A30)</f>
        <v>30</v>
      </c>
      <c r="B56">
        <v>34748710</v>
      </c>
      <c r="C56">
        <v>34748704</v>
      </c>
      <c r="D56">
        <v>31449183</v>
      </c>
      <c r="E56">
        <v>1</v>
      </c>
      <c r="F56">
        <v>1</v>
      </c>
      <c r="G56">
        <v>1</v>
      </c>
      <c r="H56">
        <v>3</v>
      </c>
      <c r="I56" t="s">
        <v>279</v>
      </c>
      <c r="J56" t="s">
        <v>280</v>
      </c>
      <c r="K56" t="s">
        <v>281</v>
      </c>
      <c r="L56">
        <v>1355</v>
      </c>
      <c r="N56">
        <v>1010</v>
      </c>
      <c r="O56" t="s">
        <v>250</v>
      </c>
      <c r="P56" t="s">
        <v>250</v>
      </c>
      <c r="Q56">
        <v>100</v>
      </c>
      <c r="X56">
        <v>1.02</v>
      </c>
      <c r="Y56">
        <v>86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1.02</v>
      </c>
      <c r="AH56">
        <v>2</v>
      </c>
      <c r="AI56">
        <v>34748710</v>
      </c>
      <c r="AJ56">
        <v>54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ROW(Source!A30)</f>
        <v>30</v>
      </c>
      <c r="B57">
        <v>34748711</v>
      </c>
      <c r="C57">
        <v>34748704</v>
      </c>
      <c r="D57">
        <v>31449543</v>
      </c>
      <c r="E57">
        <v>1</v>
      </c>
      <c r="F57">
        <v>1</v>
      </c>
      <c r="G57">
        <v>1</v>
      </c>
      <c r="H57">
        <v>3</v>
      </c>
      <c r="I57" t="s">
        <v>309</v>
      </c>
      <c r="J57" t="s">
        <v>310</v>
      </c>
      <c r="K57" t="s">
        <v>311</v>
      </c>
      <c r="L57">
        <v>1348</v>
      </c>
      <c r="N57">
        <v>1009</v>
      </c>
      <c r="O57" t="s">
        <v>288</v>
      </c>
      <c r="P57" t="s">
        <v>288</v>
      </c>
      <c r="Q57">
        <v>1000</v>
      </c>
      <c r="X57">
        <v>1.6000000000000001E-4</v>
      </c>
      <c r="Y57">
        <v>29800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1.6000000000000001E-4</v>
      </c>
      <c r="AH57">
        <v>2</v>
      </c>
      <c r="AI57">
        <v>34748711</v>
      </c>
      <c r="AJ57">
        <v>55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ROW(Source!A30)</f>
        <v>30</v>
      </c>
      <c r="B58">
        <v>34748712</v>
      </c>
      <c r="C58">
        <v>34748704</v>
      </c>
      <c r="D58">
        <v>31449547</v>
      </c>
      <c r="E58">
        <v>1</v>
      </c>
      <c r="F58">
        <v>1</v>
      </c>
      <c r="G58">
        <v>1</v>
      </c>
      <c r="H58">
        <v>3</v>
      </c>
      <c r="I58" t="s">
        <v>312</v>
      </c>
      <c r="J58" t="s">
        <v>313</v>
      </c>
      <c r="K58" t="s">
        <v>314</v>
      </c>
      <c r="L58">
        <v>1348</v>
      </c>
      <c r="N58">
        <v>1009</v>
      </c>
      <c r="O58" t="s">
        <v>288</v>
      </c>
      <c r="P58" t="s">
        <v>288</v>
      </c>
      <c r="Q58">
        <v>1000</v>
      </c>
      <c r="X58">
        <v>2.9999999999999997E-4</v>
      </c>
      <c r="Y58">
        <v>12430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2.9999999999999997E-4</v>
      </c>
      <c r="AH58">
        <v>2</v>
      </c>
      <c r="AI58">
        <v>34748712</v>
      </c>
      <c r="AJ58">
        <v>56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ROW(Source!A30)</f>
        <v>30</v>
      </c>
      <c r="B59">
        <v>34748713</v>
      </c>
      <c r="C59">
        <v>34748704</v>
      </c>
      <c r="D59">
        <v>31443668</v>
      </c>
      <c r="E59">
        <v>17</v>
      </c>
      <c r="F59">
        <v>1</v>
      </c>
      <c r="G59">
        <v>1</v>
      </c>
      <c r="H59">
        <v>3</v>
      </c>
      <c r="I59" t="s">
        <v>298</v>
      </c>
      <c r="J59" t="s">
        <v>3</v>
      </c>
      <c r="K59" t="s">
        <v>299</v>
      </c>
      <c r="L59">
        <v>1374</v>
      </c>
      <c r="N59">
        <v>1013</v>
      </c>
      <c r="O59" t="s">
        <v>300</v>
      </c>
      <c r="P59" t="s">
        <v>300</v>
      </c>
      <c r="Q59">
        <v>1</v>
      </c>
      <c r="X59">
        <v>6.86</v>
      </c>
      <c r="Y59">
        <v>1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6.86</v>
      </c>
      <c r="AH59">
        <v>2</v>
      </c>
      <c r="AI59">
        <v>34748713</v>
      </c>
      <c r="AJ59">
        <v>57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ROW(Source!A31)</f>
        <v>31</v>
      </c>
      <c r="B60">
        <v>34748705</v>
      </c>
      <c r="C60">
        <v>34748704</v>
      </c>
      <c r="D60">
        <v>31725395</v>
      </c>
      <c r="E60">
        <v>1</v>
      </c>
      <c r="F60">
        <v>1</v>
      </c>
      <c r="G60">
        <v>1</v>
      </c>
      <c r="H60">
        <v>1</v>
      </c>
      <c r="I60" t="s">
        <v>301</v>
      </c>
      <c r="J60" t="s">
        <v>3</v>
      </c>
      <c r="K60" t="s">
        <v>302</v>
      </c>
      <c r="L60">
        <v>1191</v>
      </c>
      <c r="N60">
        <v>1013</v>
      </c>
      <c r="O60" t="s">
        <v>227</v>
      </c>
      <c r="P60" t="s">
        <v>227</v>
      </c>
      <c r="Q60">
        <v>1</v>
      </c>
      <c r="X60">
        <v>34.56</v>
      </c>
      <c r="Y60">
        <v>0</v>
      </c>
      <c r="Z60">
        <v>0</v>
      </c>
      <c r="AA60">
        <v>0</v>
      </c>
      <c r="AB60">
        <v>9.92</v>
      </c>
      <c r="AC60">
        <v>0</v>
      </c>
      <c r="AD60">
        <v>1</v>
      </c>
      <c r="AE60">
        <v>1</v>
      </c>
      <c r="AF60" t="s">
        <v>3</v>
      </c>
      <c r="AG60">
        <v>34.56</v>
      </c>
      <c r="AH60">
        <v>2</v>
      </c>
      <c r="AI60">
        <v>34748705</v>
      </c>
      <c r="AJ60">
        <v>58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ROW(Source!A31)</f>
        <v>31</v>
      </c>
      <c r="B61">
        <v>34748706</v>
      </c>
      <c r="C61">
        <v>34748704</v>
      </c>
      <c r="D61">
        <v>31709492</v>
      </c>
      <c r="E61">
        <v>1</v>
      </c>
      <c r="F61">
        <v>1</v>
      </c>
      <c r="G61">
        <v>1</v>
      </c>
      <c r="H61">
        <v>1</v>
      </c>
      <c r="I61" t="s">
        <v>230</v>
      </c>
      <c r="J61" t="s">
        <v>3</v>
      </c>
      <c r="K61" t="s">
        <v>231</v>
      </c>
      <c r="L61">
        <v>1191</v>
      </c>
      <c r="N61">
        <v>1013</v>
      </c>
      <c r="O61" t="s">
        <v>227</v>
      </c>
      <c r="P61" t="s">
        <v>227</v>
      </c>
      <c r="Q61">
        <v>1</v>
      </c>
      <c r="X61">
        <v>0.05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2</v>
      </c>
      <c r="AF61" t="s">
        <v>3</v>
      </c>
      <c r="AG61">
        <v>0.05</v>
      </c>
      <c r="AH61">
        <v>2</v>
      </c>
      <c r="AI61">
        <v>34748706</v>
      </c>
      <c r="AJ61">
        <v>59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ROW(Source!A31)</f>
        <v>31</v>
      </c>
      <c r="B62">
        <v>34748707</v>
      </c>
      <c r="C62">
        <v>34748704</v>
      </c>
      <c r="D62">
        <v>31526753</v>
      </c>
      <c r="E62">
        <v>1</v>
      </c>
      <c r="F62">
        <v>1</v>
      </c>
      <c r="G62">
        <v>1</v>
      </c>
      <c r="H62">
        <v>2</v>
      </c>
      <c r="I62" t="s">
        <v>303</v>
      </c>
      <c r="J62" t="s">
        <v>304</v>
      </c>
      <c r="K62" t="s">
        <v>305</v>
      </c>
      <c r="L62">
        <v>1368</v>
      </c>
      <c r="N62">
        <v>1011</v>
      </c>
      <c r="O62" t="s">
        <v>235</v>
      </c>
      <c r="P62" t="s">
        <v>235</v>
      </c>
      <c r="Q62">
        <v>1</v>
      </c>
      <c r="X62">
        <v>0.03</v>
      </c>
      <c r="Y62">
        <v>0</v>
      </c>
      <c r="Z62">
        <v>111.99</v>
      </c>
      <c r="AA62">
        <v>13.5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0.03</v>
      </c>
      <c r="AH62">
        <v>2</v>
      </c>
      <c r="AI62">
        <v>34748707</v>
      </c>
      <c r="AJ62">
        <v>60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ROW(Source!A31)</f>
        <v>31</v>
      </c>
      <c r="B63">
        <v>34748708</v>
      </c>
      <c r="C63">
        <v>34748704</v>
      </c>
      <c r="D63">
        <v>31528142</v>
      </c>
      <c r="E63">
        <v>1</v>
      </c>
      <c r="F63">
        <v>1</v>
      </c>
      <c r="G63">
        <v>1</v>
      </c>
      <c r="H63">
        <v>2</v>
      </c>
      <c r="I63" t="s">
        <v>306</v>
      </c>
      <c r="J63" t="s">
        <v>307</v>
      </c>
      <c r="K63" t="s">
        <v>308</v>
      </c>
      <c r="L63">
        <v>1368</v>
      </c>
      <c r="N63">
        <v>1011</v>
      </c>
      <c r="O63" t="s">
        <v>235</v>
      </c>
      <c r="P63" t="s">
        <v>235</v>
      </c>
      <c r="Q63">
        <v>1</v>
      </c>
      <c r="X63">
        <v>0.02</v>
      </c>
      <c r="Y63">
        <v>0</v>
      </c>
      <c r="Z63">
        <v>65.709999999999994</v>
      </c>
      <c r="AA63">
        <v>11.6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0.02</v>
      </c>
      <c r="AH63">
        <v>2</v>
      </c>
      <c r="AI63">
        <v>34748708</v>
      </c>
      <c r="AJ63">
        <v>61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ROW(Source!A31)</f>
        <v>31</v>
      </c>
      <c r="B64">
        <v>34748709</v>
      </c>
      <c r="C64">
        <v>34748704</v>
      </c>
      <c r="D64">
        <v>31446697</v>
      </c>
      <c r="E64">
        <v>1</v>
      </c>
      <c r="F64">
        <v>1</v>
      </c>
      <c r="G64">
        <v>1</v>
      </c>
      <c r="H64">
        <v>3</v>
      </c>
      <c r="I64" t="s">
        <v>270</v>
      </c>
      <c r="J64" t="s">
        <v>271</v>
      </c>
      <c r="K64" t="s">
        <v>272</v>
      </c>
      <c r="L64">
        <v>1346</v>
      </c>
      <c r="N64">
        <v>1009</v>
      </c>
      <c r="O64" t="s">
        <v>239</v>
      </c>
      <c r="P64" t="s">
        <v>239</v>
      </c>
      <c r="Q64">
        <v>1</v>
      </c>
      <c r="X64">
        <v>0.11</v>
      </c>
      <c r="Y64">
        <v>30.4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0.11</v>
      </c>
      <c r="AH64">
        <v>2</v>
      </c>
      <c r="AI64">
        <v>34748709</v>
      </c>
      <c r="AJ64">
        <v>62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ROW(Source!A31)</f>
        <v>31</v>
      </c>
      <c r="B65">
        <v>34748710</v>
      </c>
      <c r="C65">
        <v>34748704</v>
      </c>
      <c r="D65">
        <v>31449183</v>
      </c>
      <c r="E65">
        <v>1</v>
      </c>
      <c r="F65">
        <v>1</v>
      </c>
      <c r="G65">
        <v>1</v>
      </c>
      <c r="H65">
        <v>3</v>
      </c>
      <c r="I65" t="s">
        <v>279</v>
      </c>
      <c r="J65" t="s">
        <v>280</v>
      </c>
      <c r="K65" t="s">
        <v>281</v>
      </c>
      <c r="L65">
        <v>1355</v>
      </c>
      <c r="N65">
        <v>1010</v>
      </c>
      <c r="O65" t="s">
        <v>250</v>
      </c>
      <c r="P65" t="s">
        <v>250</v>
      </c>
      <c r="Q65">
        <v>100</v>
      </c>
      <c r="X65">
        <v>1.02</v>
      </c>
      <c r="Y65">
        <v>86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1.02</v>
      </c>
      <c r="AH65">
        <v>2</v>
      </c>
      <c r="AI65">
        <v>34748710</v>
      </c>
      <c r="AJ65">
        <v>63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ROW(Source!A31)</f>
        <v>31</v>
      </c>
      <c r="B66">
        <v>34748711</v>
      </c>
      <c r="C66">
        <v>34748704</v>
      </c>
      <c r="D66">
        <v>31449543</v>
      </c>
      <c r="E66">
        <v>1</v>
      </c>
      <c r="F66">
        <v>1</v>
      </c>
      <c r="G66">
        <v>1</v>
      </c>
      <c r="H66">
        <v>3</v>
      </c>
      <c r="I66" t="s">
        <v>309</v>
      </c>
      <c r="J66" t="s">
        <v>310</v>
      </c>
      <c r="K66" t="s">
        <v>311</v>
      </c>
      <c r="L66">
        <v>1348</v>
      </c>
      <c r="N66">
        <v>1009</v>
      </c>
      <c r="O66" t="s">
        <v>288</v>
      </c>
      <c r="P66" t="s">
        <v>288</v>
      </c>
      <c r="Q66">
        <v>1000</v>
      </c>
      <c r="X66">
        <v>1.6000000000000001E-4</v>
      </c>
      <c r="Y66">
        <v>29800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1.6000000000000001E-4</v>
      </c>
      <c r="AH66">
        <v>2</v>
      </c>
      <c r="AI66">
        <v>34748711</v>
      </c>
      <c r="AJ66">
        <v>64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ROW(Source!A31)</f>
        <v>31</v>
      </c>
      <c r="B67">
        <v>34748712</v>
      </c>
      <c r="C67">
        <v>34748704</v>
      </c>
      <c r="D67">
        <v>31449547</v>
      </c>
      <c r="E67">
        <v>1</v>
      </c>
      <c r="F67">
        <v>1</v>
      </c>
      <c r="G67">
        <v>1</v>
      </c>
      <c r="H67">
        <v>3</v>
      </c>
      <c r="I67" t="s">
        <v>312</v>
      </c>
      <c r="J67" t="s">
        <v>313</v>
      </c>
      <c r="K67" t="s">
        <v>314</v>
      </c>
      <c r="L67">
        <v>1348</v>
      </c>
      <c r="N67">
        <v>1009</v>
      </c>
      <c r="O67" t="s">
        <v>288</v>
      </c>
      <c r="P67" t="s">
        <v>288</v>
      </c>
      <c r="Q67">
        <v>1000</v>
      </c>
      <c r="X67">
        <v>2.9999999999999997E-4</v>
      </c>
      <c r="Y67">
        <v>12430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2.9999999999999997E-4</v>
      </c>
      <c r="AH67">
        <v>2</v>
      </c>
      <c r="AI67">
        <v>34748712</v>
      </c>
      <c r="AJ67">
        <v>65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ROW(Source!A31)</f>
        <v>31</v>
      </c>
      <c r="B68">
        <v>34748713</v>
      </c>
      <c r="C68">
        <v>34748704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298</v>
      </c>
      <c r="J68" t="s">
        <v>3</v>
      </c>
      <c r="K68" t="s">
        <v>299</v>
      </c>
      <c r="L68">
        <v>1374</v>
      </c>
      <c r="N68">
        <v>1013</v>
      </c>
      <c r="O68" t="s">
        <v>300</v>
      </c>
      <c r="P68" t="s">
        <v>300</v>
      </c>
      <c r="Q68">
        <v>1</v>
      </c>
      <c r="X68">
        <v>6.86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6.86</v>
      </c>
      <c r="AH68">
        <v>2</v>
      </c>
      <c r="AI68">
        <v>34748713</v>
      </c>
      <c r="AJ68">
        <v>66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ROW(Source!A32)</f>
        <v>32</v>
      </c>
      <c r="B69">
        <v>34748717</v>
      </c>
      <c r="C69">
        <v>34748716</v>
      </c>
      <c r="D69">
        <v>31757860</v>
      </c>
      <c r="E69">
        <v>1</v>
      </c>
      <c r="F69">
        <v>1</v>
      </c>
      <c r="G69">
        <v>1</v>
      </c>
      <c r="H69">
        <v>1</v>
      </c>
      <c r="I69" t="s">
        <v>315</v>
      </c>
      <c r="J69" t="s">
        <v>3</v>
      </c>
      <c r="K69" t="s">
        <v>316</v>
      </c>
      <c r="L69">
        <v>1191</v>
      </c>
      <c r="N69">
        <v>1013</v>
      </c>
      <c r="O69" t="s">
        <v>227</v>
      </c>
      <c r="P69" t="s">
        <v>227</v>
      </c>
      <c r="Q69">
        <v>1</v>
      </c>
      <c r="X69">
        <v>9.27</v>
      </c>
      <c r="Y69">
        <v>0</v>
      </c>
      <c r="Z69">
        <v>0</v>
      </c>
      <c r="AA69">
        <v>0</v>
      </c>
      <c r="AB69">
        <v>11.09</v>
      </c>
      <c r="AC69">
        <v>0</v>
      </c>
      <c r="AD69">
        <v>1</v>
      </c>
      <c r="AE69">
        <v>1</v>
      </c>
      <c r="AF69" t="s">
        <v>3</v>
      </c>
      <c r="AG69">
        <v>9.27</v>
      </c>
      <c r="AH69">
        <v>2</v>
      </c>
      <c r="AI69">
        <v>34748717</v>
      </c>
      <c r="AJ69">
        <v>67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ROW(Source!A32)</f>
        <v>32</v>
      </c>
      <c r="B70">
        <v>34748718</v>
      </c>
      <c r="C70">
        <v>34748716</v>
      </c>
      <c r="D70">
        <v>31449933</v>
      </c>
      <c r="E70">
        <v>1</v>
      </c>
      <c r="F70">
        <v>1</v>
      </c>
      <c r="G70">
        <v>1</v>
      </c>
      <c r="H70">
        <v>3</v>
      </c>
      <c r="I70" t="s">
        <v>317</v>
      </c>
      <c r="J70" t="s">
        <v>318</v>
      </c>
      <c r="K70" t="s">
        <v>319</v>
      </c>
      <c r="L70">
        <v>1346</v>
      </c>
      <c r="N70">
        <v>1009</v>
      </c>
      <c r="O70" t="s">
        <v>239</v>
      </c>
      <c r="P70" t="s">
        <v>239</v>
      </c>
      <c r="Q70">
        <v>1</v>
      </c>
      <c r="X70">
        <v>0.2</v>
      </c>
      <c r="Y70">
        <v>23.09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0.2</v>
      </c>
      <c r="AH70">
        <v>2</v>
      </c>
      <c r="AI70">
        <v>34748718</v>
      </c>
      <c r="AJ70">
        <v>68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ROW(Source!A32)</f>
        <v>32</v>
      </c>
      <c r="B71">
        <v>34748719</v>
      </c>
      <c r="C71">
        <v>34748716</v>
      </c>
      <c r="D71">
        <v>31515411</v>
      </c>
      <c r="E71">
        <v>1</v>
      </c>
      <c r="F71">
        <v>1</v>
      </c>
      <c r="G71">
        <v>1</v>
      </c>
      <c r="H71">
        <v>3</v>
      </c>
      <c r="I71" t="s">
        <v>320</v>
      </c>
      <c r="J71" t="s">
        <v>321</v>
      </c>
      <c r="K71" t="s">
        <v>322</v>
      </c>
      <c r="L71">
        <v>1355</v>
      </c>
      <c r="N71">
        <v>1010</v>
      </c>
      <c r="O71" t="s">
        <v>250</v>
      </c>
      <c r="P71" t="s">
        <v>250</v>
      </c>
      <c r="Q71">
        <v>100</v>
      </c>
      <c r="X71">
        <v>0.25</v>
      </c>
      <c r="Y71">
        <v>30.74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0.25</v>
      </c>
      <c r="AH71">
        <v>2</v>
      </c>
      <c r="AI71">
        <v>34748719</v>
      </c>
      <c r="AJ71">
        <v>69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ROW(Source!A32)</f>
        <v>32</v>
      </c>
      <c r="B72">
        <v>34748720</v>
      </c>
      <c r="C72">
        <v>34748716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298</v>
      </c>
      <c r="J72" t="s">
        <v>3</v>
      </c>
      <c r="K72" t="s">
        <v>299</v>
      </c>
      <c r="L72">
        <v>1374</v>
      </c>
      <c r="N72">
        <v>1013</v>
      </c>
      <c r="O72" t="s">
        <v>300</v>
      </c>
      <c r="P72" t="s">
        <v>300</v>
      </c>
      <c r="Q72">
        <v>1</v>
      </c>
      <c r="X72">
        <v>2.06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2.06</v>
      </c>
      <c r="AH72">
        <v>2</v>
      </c>
      <c r="AI72">
        <v>34748720</v>
      </c>
      <c r="AJ72">
        <v>70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ROW(Source!A33)</f>
        <v>33</v>
      </c>
      <c r="B73">
        <v>34748717</v>
      </c>
      <c r="C73">
        <v>34748716</v>
      </c>
      <c r="D73">
        <v>31757860</v>
      </c>
      <c r="E73">
        <v>1</v>
      </c>
      <c r="F73">
        <v>1</v>
      </c>
      <c r="G73">
        <v>1</v>
      </c>
      <c r="H73">
        <v>1</v>
      </c>
      <c r="I73" t="s">
        <v>315</v>
      </c>
      <c r="J73" t="s">
        <v>3</v>
      </c>
      <c r="K73" t="s">
        <v>316</v>
      </c>
      <c r="L73">
        <v>1191</v>
      </c>
      <c r="N73">
        <v>1013</v>
      </c>
      <c r="O73" t="s">
        <v>227</v>
      </c>
      <c r="P73" t="s">
        <v>227</v>
      </c>
      <c r="Q73">
        <v>1</v>
      </c>
      <c r="X73">
        <v>9.27</v>
      </c>
      <c r="Y73">
        <v>0</v>
      </c>
      <c r="Z73">
        <v>0</v>
      </c>
      <c r="AA73">
        <v>0</v>
      </c>
      <c r="AB73">
        <v>11.09</v>
      </c>
      <c r="AC73">
        <v>0</v>
      </c>
      <c r="AD73">
        <v>1</v>
      </c>
      <c r="AE73">
        <v>1</v>
      </c>
      <c r="AF73" t="s">
        <v>3</v>
      </c>
      <c r="AG73">
        <v>9.27</v>
      </c>
      <c r="AH73">
        <v>2</v>
      </c>
      <c r="AI73">
        <v>34748717</v>
      </c>
      <c r="AJ73">
        <v>71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ROW(Source!A33)</f>
        <v>33</v>
      </c>
      <c r="B74">
        <v>34748718</v>
      </c>
      <c r="C74">
        <v>34748716</v>
      </c>
      <c r="D74">
        <v>31449933</v>
      </c>
      <c r="E74">
        <v>1</v>
      </c>
      <c r="F74">
        <v>1</v>
      </c>
      <c r="G74">
        <v>1</v>
      </c>
      <c r="H74">
        <v>3</v>
      </c>
      <c r="I74" t="s">
        <v>317</v>
      </c>
      <c r="J74" t="s">
        <v>318</v>
      </c>
      <c r="K74" t="s">
        <v>319</v>
      </c>
      <c r="L74">
        <v>1346</v>
      </c>
      <c r="N74">
        <v>1009</v>
      </c>
      <c r="O74" t="s">
        <v>239</v>
      </c>
      <c r="P74" t="s">
        <v>239</v>
      </c>
      <c r="Q74">
        <v>1</v>
      </c>
      <c r="X74">
        <v>0.2</v>
      </c>
      <c r="Y74">
        <v>23.09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0.2</v>
      </c>
      <c r="AH74">
        <v>2</v>
      </c>
      <c r="AI74">
        <v>34748718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ROW(Source!A33)</f>
        <v>33</v>
      </c>
      <c r="B75">
        <v>34748719</v>
      </c>
      <c r="C75">
        <v>34748716</v>
      </c>
      <c r="D75">
        <v>31515411</v>
      </c>
      <c r="E75">
        <v>1</v>
      </c>
      <c r="F75">
        <v>1</v>
      </c>
      <c r="G75">
        <v>1</v>
      </c>
      <c r="H75">
        <v>3</v>
      </c>
      <c r="I75" t="s">
        <v>320</v>
      </c>
      <c r="J75" t="s">
        <v>321</v>
      </c>
      <c r="K75" t="s">
        <v>322</v>
      </c>
      <c r="L75">
        <v>1355</v>
      </c>
      <c r="N75">
        <v>1010</v>
      </c>
      <c r="O75" t="s">
        <v>250</v>
      </c>
      <c r="P75" t="s">
        <v>250</v>
      </c>
      <c r="Q75">
        <v>100</v>
      </c>
      <c r="X75">
        <v>0.25</v>
      </c>
      <c r="Y75">
        <v>30.74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0.25</v>
      </c>
      <c r="AH75">
        <v>2</v>
      </c>
      <c r="AI75">
        <v>34748719</v>
      </c>
      <c r="AJ75">
        <v>73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ROW(Source!A33)</f>
        <v>33</v>
      </c>
      <c r="B76">
        <v>34748720</v>
      </c>
      <c r="C76">
        <v>34748716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298</v>
      </c>
      <c r="J76" t="s">
        <v>3</v>
      </c>
      <c r="K76" t="s">
        <v>299</v>
      </c>
      <c r="L76">
        <v>1374</v>
      </c>
      <c r="N76">
        <v>1013</v>
      </c>
      <c r="O76" t="s">
        <v>300</v>
      </c>
      <c r="P76" t="s">
        <v>300</v>
      </c>
      <c r="Q76">
        <v>1</v>
      </c>
      <c r="X76">
        <v>2.06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2.06</v>
      </c>
      <c r="AH76">
        <v>2</v>
      </c>
      <c r="AI76">
        <v>34748720</v>
      </c>
      <c r="AJ76">
        <v>74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ROW(Source!A34)</f>
        <v>34</v>
      </c>
      <c r="B77">
        <v>34748724</v>
      </c>
      <c r="C77">
        <v>34748723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323</v>
      </c>
      <c r="J77" t="s">
        <v>3</v>
      </c>
      <c r="K77" t="s">
        <v>324</v>
      </c>
      <c r="L77">
        <v>1191</v>
      </c>
      <c r="N77">
        <v>1013</v>
      </c>
      <c r="O77" t="s">
        <v>227</v>
      </c>
      <c r="P77" t="s">
        <v>227</v>
      </c>
      <c r="Q77">
        <v>1</v>
      </c>
      <c r="X77">
        <v>9.6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9.6</v>
      </c>
      <c r="AH77">
        <v>2</v>
      </c>
      <c r="AI77">
        <v>34748724</v>
      </c>
      <c r="AJ77">
        <v>75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ROW(Source!A34)</f>
        <v>34</v>
      </c>
      <c r="B78">
        <v>34748725</v>
      </c>
      <c r="C78">
        <v>34748723</v>
      </c>
      <c r="D78">
        <v>31443668</v>
      </c>
      <c r="E78">
        <v>17</v>
      </c>
      <c r="F78">
        <v>1</v>
      </c>
      <c r="G78">
        <v>1</v>
      </c>
      <c r="H78">
        <v>3</v>
      </c>
      <c r="I78" t="s">
        <v>298</v>
      </c>
      <c r="J78" t="s">
        <v>3</v>
      </c>
      <c r="K78" t="s">
        <v>299</v>
      </c>
      <c r="L78">
        <v>1374</v>
      </c>
      <c r="N78">
        <v>1013</v>
      </c>
      <c r="O78" t="s">
        <v>300</v>
      </c>
      <c r="P78" t="s">
        <v>300</v>
      </c>
      <c r="Q78">
        <v>1</v>
      </c>
      <c r="X78">
        <v>1.85</v>
      </c>
      <c r="Y78">
        <v>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1.85</v>
      </c>
      <c r="AH78">
        <v>2</v>
      </c>
      <c r="AI78">
        <v>34748725</v>
      </c>
      <c r="AJ78">
        <v>76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34748724</v>
      </c>
      <c r="C79">
        <v>34748723</v>
      </c>
      <c r="D79">
        <v>31715651</v>
      </c>
      <c r="E79">
        <v>1</v>
      </c>
      <c r="F79">
        <v>1</v>
      </c>
      <c r="G79">
        <v>1</v>
      </c>
      <c r="H79">
        <v>1</v>
      </c>
      <c r="I79" t="s">
        <v>323</v>
      </c>
      <c r="J79" t="s">
        <v>3</v>
      </c>
      <c r="K79" t="s">
        <v>324</v>
      </c>
      <c r="L79">
        <v>1191</v>
      </c>
      <c r="N79">
        <v>1013</v>
      </c>
      <c r="O79" t="s">
        <v>227</v>
      </c>
      <c r="P79" t="s">
        <v>227</v>
      </c>
      <c r="Q79">
        <v>1</v>
      </c>
      <c r="X79">
        <v>9.6</v>
      </c>
      <c r="Y79">
        <v>0</v>
      </c>
      <c r="Z79">
        <v>0</v>
      </c>
      <c r="AA79">
        <v>0</v>
      </c>
      <c r="AB79">
        <v>9.6199999999999992</v>
      </c>
      <c r="AC79">
        <v>0</v>
      </c>
      <c r="AD79">
        <v>1</v>
      </c>
      <c r="AE79">
        <v>1</v>
      </c>
      <c r="AF79" t="s">
        <v>3</v>
      </c>
      <c r="AG79">
        <v>9.6</v>
      </c>
      <c r="AH79">
        <v>2</v>
      </c>
      <c r="AI79">
        <v>34748724</v>
      </c>
      <c r="AJ79">
        <v>77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34748725</v>
      </c>
      <c r="C80">
        <v>34748723</v>
      </c>
      <c r="D80">
        <v>31443668</v>
      </c>
      <c r="E80">
        <v>17</v>
      </c>
      <c r="F80">
        <v>1</v>
      </c>
      <c r="G80">
        <v>1</v>
      </c>
      <c r="H80">
        <v>3</v>
      </c>
      <c r="I80" t="s">
        <v>298</v>
      </c>
      <c r="J80" t="s">
        <v>3</v>
      </c>
      <c r="K80" t="s">
        <v>299</v>
      </c>
      <c r="L80">
        <v>1374</v>
      </c>
      <c r="N80">
        <v>1013</v>
      </c>
      <c r="O80" t="s">
        <v>300</v>
      </c>
      <c r="P80" t="s">
        <v>300</v>
      </c>
      <c r="Q80">
        <v>1</v>
      </c>
      <c r="X80">
        <v>1.85</v>
      </c>
      <c r="Y80">
        <v>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1.85</v>
      </c>
      <c r="AH80">
        <v>2</v>
      </c>
      <c r="AI80">
        <v>34748725</v>
      </c>
      <c r="AJ80">
        <v>78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ROW(Source!A36)</f>
        <v>36</v>
      </c>
      <c r="B81">
        <v>34748729</v>
      </c>
      <c r="C81">
        <v>34748728</v>
      </c>
      <c r="D81">
        <v>31709544</v>
      </c>
      <c r="E81">
        <v>1</v>
      </c>
      <c r="F81">
        <v>1</v>
      </c>
      <c r="G81">
        <v>1</v>
      </c>
      <c r="H81">
        <v>1</v>
      </c>
      <c r="I81" t="s">
        <v>325</v>
      </c>
      <c r="J81" t="s">
        <v>3</v>
      </c>
      <c r="K81" t="s">
        <v>326</v>
      </c>
      <c r="L81">
        <v>1191</v>
      </c>
      <c r="N81">
        <v>1013</v>
      </c>
      <c r="O81" t="s">
        <v>227</v>
      </c>
      <c r="P81" t="s">
        <v>227</v>
      </c>
      <c r="Q81">
        <v>1</v>
      </c>
      <c r="X81">
        <v>42.5</v>
      </c>
      <c r="Y81">
        <v>0</v>
      </c>
      <c r="Z81">
        <v>0</v>
      </c>
      <c r="AA81">
        <v>0</v>
      </c>
      <c r="AB81">
        <v>9.07</v>
      </c>
      <c r="AC81">
        <v>0</v>
      </c>
      <c r="AD81">
        <v>1</v>
      </c>
      <c r="AE81">
        <v>1</v>
      </c>
      <c r="AF81" t="s">
        <v>3</v>
      </c>
      <c r="AG81">
        <v>42.5</v>
      </c>
      <c r="AH81">
        <v>2</v>
      </c>
      <c r="AI81">
        <v>34748729</v>
      </c>
      <c r="AJ81">
        <v>79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ROW(Source!A36)</f>
        <v>36</v>
      </c>
      <c r="B82">
        <v>34748730</v>
      </c>
      <c r="C82">
        <v>34748728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230</v>
      </c>
      <c r="J82" t="s">
        <v>3</v>
      </c>
      <c r="K82" t="s">
        <v>231</v>
      </c>
      <c r="L82">
        <v>1191</v>
      </c>
      <c r="N82">
        <v>1013</v>
      </c>
      <c r="O82" t="s">
        <v>227</v>
      </c>
      <c r="P82" t="s">
        <v>227</v>
      </c>
      <c r="Q82">
        <v>1</v>
      </c>
      <c r="X82">
        <v>1.74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3</v>
      </c>
      <c r="AG82">
        <v>1.74</v>
      </c>
      <c r="AH82">
        <v>2</v>
      </c>
      <c r="AI82">
        <v>34748730</v>
      </c>
      <c r="AJ82">
        <v>80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ROW(Source!A36)</f>
        <v>36</v>
      </c>
      <c r="B83">
        <v>34748731</v>
      </c>
      <c r="C83">
        <v>34748728</v>
      </c>
      <c r="D83">
        <v>31526978</v>
      </c>
      <c r="E83">
        <v>1</v>
      </c>
      <c r="F83">
        <v>1</v>
      </c>
      <c r="G83">
        <v>1</v>
      </c>
      <c r="H83">
        <v>2</v>
      </c>
      <c r="I83" t="s">
        <v>327</v>
      </c>
      <c r="J83" t="s">
        <v>328</v>
      </c>
      <c r="K83" t="s">
        <v>329</v>
      </c>
      <c r="L83">
        <v>1368</v>
      </c>
      <c r="N83">
        <v>1011</v>
      </c>
      <c r="O83" t="s">
        <v>235</v>
      </c>
      <c r="P83" t="s">
        <v>235</v>
      </c>
      <c r="Q83">
        <v>1</v>
      </c>
      <c r="X83">
        <v>1.74</v>
      </c>
      <c r="Y83">
        <v>0</v>
      </c>
      <c r="Z83">
        <v>89.99</v>
      </c>
      <c r="AA83">
        <v>10.06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1.74</v>
      </c>
      <c r="AH83">
        <v>2</v>
      </c>
      <c r="AI83">
        <v>34748731</v>
      </c>
      <c r="AJ83">
        <v>81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ROW(Source!A36)</f>
        <v>36</v>
      </c>
      <c r="B84">
        <v>34748732</v>
      </c>
      <c r="C84">
        <v>34748728</v>
      </c>
      <c r="D84">
        <v>31449550</v>
      </c>
      <c r="E84">
        <v>1</v>
      </c>
      <c r="F84">
        <v>1</v>
      </c>
      <c r="G84">
        <v>1</v>
      </c>
      <c r="H84">
        <v>3</v>
      </c>
      <c r="I84" t="s">
        <v>330</v>
      </c>
      <c r="J84" t="s">
        <v>331</v>
      </c>
      <c r="K84" t="s">
        <v>332</v>
      </c>
      <c r="L84">
        <v>1348</v>
      </c>
      <c r="N84">
        <v>1009</v>
      </c>
      <c r="O84" t="s">
        <v>288</v>
      </c>
      <c r="P84" t="s">
        <v>288</v>
      </c>
      <c r="Q84">
        <v>1000</v>
      </c>
      <c r="X84">
        <v>1.39E-3</v>
      </c>
      <c r="Y84">
        <v>12430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1.39E-3</v>
      </c>
      <c r="AH84">
        <v>2</v>
      </c>
      <c r="AI84">
        <v>34748732</v>
      </c>
      <c r="AJ84">
        <v>82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ROW(Source!A36)</f>
        <v>36</v>
      </c>
      <c r="B85">
        <v>34748733</v>
      </c>
      <c r="C85">
        <v>34748728</v>
      </c>
      <c r="D85">
        <v>31451091</v>
      </c>
      <c r="E85">
        <v>1</v>
      </c>
      <c r="F85">
        <v>1</v>
      </c>
      <c r="G85">
        <v>1</v>
      </c>
      <c r="H85">
        <v>3</v>
      </c>
      <c r="I85" t="s">
        <v>333</v>
      </c>
      <c r="J85" t="s">
        <v>334</v>
      </c>
      <c r="K85" t="s">
        <v>335</v>
      </c>
      <c r="L85">
        <v>1348</v>
      </c>
      <c r="N85">
        <v>1009</v>
      </c>
      <c r="O85" t="s">
        <v>288</v>
      </c>
      <c r="P85" t="s">
        <v>288</v>
      </c>
      <c r="Q85">
        <v>1000</v>
      </c>
      <c r="X85">
        <v>3.3E-3</v>
      </c>
      <c r="Y85">
        <v>729.98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3.3E-3</v>
      </c>
      <c r="AH85">
        <v>2</v>
      </c>
      <c r="AI85">
        <v>34748733</v>
      </c>
      <c r="AJ85">
        <v>83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ROW(Source!A36)</f>
        <v>36</v>
      </c>
      <c r="B86">
        <v>34748734</v>
      </c>
      <c r="C86">
        <v>34748728</v>
      </c>
      <c r="D86">
        <v>31470212</v>
      </c>
      <c r="E86">
        <v>1</v>
      </c>
      <c r="F86">
        <v>1</v>
      </c>
      <c r="G86">
        <v>1</v>
      </c>
      <c r="H86">
        <v>3</v>
      </c>
      <c r="I86" t="s">
        <v>336</v>
      </c>
      <c r="J86" t="s">
        <v>337</v>
      </c>
      <c r="K86" t="s">
        <v>338</v>
      </c>
      <c r="L86">
        <v>1348</v>
      </c>
      <c r="N86">
        <v>1009</v>
      </c>
      <c r="O86" t="s">
        <v>288</v>
      </c>
      <c r="P86" t="s">
        <v>288</v>
      </c>
      <c r="Q86">
        <v>1000</v>
      </c>
      <c r="X86">
        <v>3.6000000000000002E-4</v>
      </c>
      <c r="Y86">
        <v>10200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3.6000000000000002E-4</v>
      </c>
      <c r="AH86">
        <v>2</v>
      </c>
      <c r="AI86">
        <v>34748734</v>
      </c>
      <c r="AJ86">
        <v>84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ROW(Source!A36)</f>
        <v>36</v>
      </c>
      <c r="B87">
        <v>34748735</v>
      </c>
      <c r="C87">
        <v>34748728</v>
      </c>
      <c r="D87">
        <v>31505175</v>
      </c>
      <c r="E87">
        <v>1</v>
      </c>
      <c r="F87">
        <v>1</v>
      </c>
      <c r="G87">
        <v>1</v>
      </c>
      <c r="H87">
        <v>3</v>
      </c>
      <c r="I87" t="s">
        <v>339</v>
      </c>
      <c r="J87" t="s">
        <v>340</v>
      </c>
      <c r="K87" t="s">
        <v>341</v>
      </c>
      <c r="L87">
        <v>1355</v>
      </c>
      <c r="N87">
        <v>1010</v>
      </c>
      <c r="O87" t="s">
        <v>250</v>
      </c>
      <c r="P87" t="s">
        <v>250</v>
      </c>
      <c r="Q87">
        <v>100</v>
      </c>
      <c r="X87">
        <v>3.12</v>
      </c>
      <c r="Y87">
        <v>155.74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3.12</v>
      </c>
      <c r="AH87">
        <v>2</v>
      </c>
      <c r="AI87">
        <v>34748735</v>
      </c>
      <c r="AJ87">
        <v>85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34748736</v>
      </c>
      <c r="C88">
        <v>34748728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298</v>
      </c>
      <c r="J88" t="s">
        <v>3</v>
      </c>
      <c r="K88" t="s">
        <v>299</v>
      </c>
      <c r="L88">
        <v>1374</v>
      </c>
      <c r="N88">
        <v>1013</v>
      </c>
      <c r="O88" t="s">
        <v>300</v>
      </c>
      <c r="P88" t="s">
        <v>300</v>
      </c>
      <c r="Q88">
        <v>1</v>
      </c>
      <c r="X88">
        <v>7.71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7.71</v>
      </c>
      <c r="AH88">
        <v>2</v>
      </c>
      <c r="AI88">
        <v>34748736</v>
      </c>
      <c r="AJ88">
        <v>86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ROW(Source!A37)</f>
        <v>37</v>
      </c>
      <c r="B89">
        <v>34748729</v>
      </c>
      <c r="C89">
        <v>34748728</v>
      </c>
      <c r="D89">
        <v>31709544</v>
      </c>
      <c r="E89">
        <v>1</v>
      </c>
      <c r="F89">
        <v>1</v>
      </c>
      <c r="G89">
        <v>1</v>
      </c>
      <c r="H89">
        <v>1</v>
      </c>
      <c r="I89" t="s">
        <v>325</v>
      </c>
      <c r="J89" t="s">
        <v>3</v>
      </c>
      <c r="K89" t="s">
        <v>326</v>
      </c>
      <c r="L89">
        <v>1191</v>
      </c>
      <c r="N89">
        <v>1013</v>
      </c>
      <c r="O89" t="s">
        <v>227</v>
      </c>
      <c r="P89" t="s">
        <v>227</v>
      </c>
      <c r="Q89">
        <v>1</v>
      </c>
      <c r="X89">
        <v>42.5</v>
      </c>
      <c r="Y89">
        <v>0</v>
      </c>
      <c r="Z89">
        <v>0</v>
      </c>
      <c r="AA89">
        <v>0</v>
      </c>
      <c r="AB89">
        <v>9.07</v>
      </c>
      <c r="AC89">
        <v>0</v>
      </c>
      <c r="AD89">
        <v>1</v>
      </c>
      <c r="AE89">
        <v>1</v>
      </c>
      <c r="AF89" t="s">
        <v>3</v>
      </c>
      <c r="AG89">
        <v>42.5</v>
      </c>
      <c r="AH89">
        <v>2</v>
      </c>
      <c r="AI89">
        <v>34748729</v>
      </c>
      <c r="AJ89">
        <v>87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ROW(Source!A37)</f>
        <v>37</v>
      </c>
      <c r="B90">
        <v>34748730</v>
      </c>
      <c r="C90">
        <v>34748728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230</v>
      </c>
      <c r="J90" t="s">
        <v>3</v>
      </c>
      <c r="K90" t="s">
        <v>231</v>
      </c>
      <c r="L90">
        <v>1191</v>
      </c>
      <c r="N90">
        <v>1013</v>
      </c>
      <c r="O90" t="s">
        <v>227</v>
      </c>
      <c r="P90" t="s">
        <v>227</v>
      </c>
      <c r="Q90">
        <v>1</v>
      </c>
      <c r="X90">
        <v>1.74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1.74</v>
      </c>
      <c r="AH90">
        <v>2</v>
      </c>
      <c r="AI90">
        <v>34748730</v>
      </c>
      <c r="AJ90">
        <v>88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ROW(Source!A37)</f>
        <v>37</v>
      </c>
      <c r="B91">
        <v>34748731</v>
      </c>
      <c r="C91">
        <v>34748728</v>
      </c>
      <c r="D91">
        <v>31526978</v>
      </c>
      <c r="E91">
        <v>1</v>
      </c>
      <c r="F91">
        <v>1</v>
      </c>
      <c r="G91">
        <v>1</v>
      </c>
      <c r="H91">
        <v>2</v>
      </c>
      <c r="I91" t="s">
        <v>327</v>
      </c>
      <c r="J91" t="s">
        <v>328</v>
      </c>
      <c r="K91" t="s">
        <v>329</v>
      </c>
      <c r="L91">
        <v>1368</v>
      </c>
      <c r="N91">
        <v>1011</v>
      </c>
      <c r="O91" t="s">
        <v>235</v>
      </c>
      <c r="P91" t="s">
        <v>235</v>
      </c>
      <c r="Q91">
        <v>1</v>
      </c>
      <c r="X91">
        <v>1.74</v>
      </c>
      <c r="Y91">
        <v>0</v>
      </c>
      <c r="Z91">
        <v>89.99</v>
      </c>
      <c r="AA91">
        <v>10.06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1.74</v>
      </c>
      <c r="AH91">
        <v>2</v>
      </c>
      <c r="AI91">
        <v>34748731</v>
      </c>
      <c r="AJ91">
        <v>89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ROW(Source!A37)</f>
        <v>37</v>
      </c>
      <c r="B92">
        <v>34748732</v>
      </c>
      <c r="C92">
        <v>34748728</v>
      </c>
      <c r="D92">
        <v>31449550</v>
      </c>
      <c r="E92">
        <v>1</v>
      </c>
      <c r="F92">
        <v>1</v>
      </c>
      <c r="G92">
        <v>1</v>
      </c>
      <c r="H92">
        <v>3</v>
      </c>
      <c r="I92" t="s">
        <v>330</v>
      </c>
      <c r="J92" t="s">
        <v>331</v>
      </c>
      <c r="K92" t="s">
        <v>332</v>
      </c>
      <c r="L92">
        <v>1348</v>
      </c>
      <c r="N92">
        <v>1009</v>
      </c>
      <c r="O92" t="s">
        <v>288</v>
      </c>
      <c r="P92" t="s">
        <v>288</v>
      </c>
      <c r="Q92">
        <v>1000</v>
      </c>
      <c r="X92">
        <v>1.39E-3</v>
      </c>
      <c r="Y92">
        <v>12430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1.39E-3</v>
      </c>
      <c r="AH92">
        <v>2</v>
      </c>
      <c r="AI92">
        <v>34748732</v>
      </c>
      <c r="AJ92">
        <v>90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ROW(Source!A37)</f>
        <v>37</v>
      </c>
      <c r="B93">
        <v>34748733</v>
      </c>
      <c r="C93">
        <v>34748728</v>
      </c>
      <c r="D93">
        <v>31451091</v>
      </c>
      <c r="E93">
        <v>1</v>
      </c>
      <c r="F93">
        <v>1</v>
      </c>
      <c r="G93">
        <v>1</v>
      </c>
      <c r="H93">
        <v>3</v>
      </c>
      <c r="I93" t="s">
        <v>333</v>
      </c>
      <c r="J93" t="s">
        <v>334</v>
      </c>
      <c r="K93" t="s">
        <v>335</v>
      </c>
      <c r="L93">
        <v>1348</v>
      </c>
      <c r="N93">
        <v>1009</v>
      </c>
      <c r="O93" t="s">
        <v>288</v>
      </c>
      <c r="P93" t="s">
        <v>288</v>
      </c>
      <c r="Q93">
        <v>1000</v>
      </c>
      <c r="X93">
        <v>3.3E-3</v>
      </c>
      <c r="Y93">
        <v>729.98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3.3E-3</v>
      </c>
      <c r="AH93">
        <v>2</v>
      </c>
      <c r="AI93">
        <v>34748733</v>
      </c>
      <c r="AJ93">
        <v>91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ROW(Source!A37)</f>
        <v>37</v>
      </c>
      <c r="B94">
        <v>34748734</v>
      </c>
      <c r="C94">
        <v>34748728</v>
      </c>
      <c r="D94">
        <v>31470212</v>
      </c>
      <c r="E94">
        <v>1</v>
      </c>
      <c r="F94">
        <v>1</v>
      </c>
      <c r="G94">
        <v>1</v>
      </c>
      <c r="H94">
        <v>3</v>
      </c>
      <c r="I94" t="s">
        <v>336</v>
      </c>
      <c r="J94" t="s">
        <v>337</v>
      </c>
      <c r="K94" t="s">
        <v>338</v>
      </c>
      <c r="L94">
        <v>1348</v>
      </c>
      <c r="N94">
        <v>1009</v>
      </c>
      <c r="O94" t="s">
        <v>288</v>
      </c>
      <c r="P94" t="s">
        <v>288</v>
      </c>
      <c r="Q94">
        <v>1000</v>
      </c>
      <c r="X94">
        <v>3.6000000000000002E-4</v>
      </c>
      <c r="Y94">
        <v>10200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3.6000000000000002E-4</v>
      </c>
      <c r="AH94">
        <v>2</v>
      </c>
      <c r="AI94">
        <v>34748734</v>
      </c>
      <c r="AJ94">
        <v>92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ROW(Source!A37)</f>
        <v>37</v>
      </c>
      <c r="B95">
        <v>34748735</v>
      </c>
      <c r="C95">
        <v>34748728</v>
      </c>
      <c r="D95">
        <v>31505175</v>
      </c>
      <c r="E95">
        <v>1</v>
      </c>
      <c r="F95">
        <v>1</v>
      </c>
      <c r="G95">
        <v>1</v>
      </c>
      <c r="H95">
        <v>3</v>
      </c>
      <c r="I95" t="s">
        <v>339</v>
      </c>
      <c r="J95" t="s">
        <v>340</v>
      </c>
      <c r="K95" t="s">
        <v>341</v>
      </c>
      <c r="L95">
        <v>1355</v>
      </c>
      <c r="N95">
        <v>1010</v>
      </c>
      <c r="O95" t="s">
        <v>250</v>
      </c>
      <c r="P95" t="s">
        <v>250</v>
      </c>
      <c r="Q95">
        <v>100</v>
      </c>
      <c r="X95">
        <v>3.12</v>
      </c>
      <c r="Y95">
        <v>155.74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3.12</v>
      </c>
      <c r="AH95">
        <v>2</v>
      </c>
      <c r="AI95">
        <v>34748735</v>
      </c>
      <c r="AJ95">
        <v>93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ROW(Source!A37)</f>
        <v>37</v>
      </c>
      <c r="B96">
        <v>34748736</v>
      </c>
      <c r="C96">
        <v>34748728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298</v>
      </c>
      <c r="J96" t="s">
        <v>3</v>
      </c>
      <c r="K96" t="s">
        <v>299</v>
      </c>
      <c r="L96">
        <v>1374</v>
      </c>
      <c r="N96">
        <v>1013</v>
      </c>
      <c r="O96" t="s">
        <v>300</v>
      </c>
      <c r="P96" t="s">
        <v>300</v>
      </c>
      <c r="Q96">
        <v>1</v>
      </c>
      <c r="X96">
        <v>7.71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7.71</v>
      </c>
      <c r="AH96">
        <v>2</v>
      </c>
      <c r="AI96">
        <v>34748736</v>
      </c>
      <c r="AJ96">
        <v>94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ROW(Source!A38)</f>
        <v>38</v>
      </c>
      <c r="B97">
        <v>34748748</v>
      </c>
      <c r="C97">
        <v>34748747</v>
      </c>
      <c r="D97">
        <v>32164293</v>
      </c>
      <c r="E97">
        <v>1</v>
      </c>
      <c r="F97">
        <v>1</v>
      </c>
      <c r="G97">
        <v>1</v>
      </c>
      <c r="H97">
        <v>1</v>
      </c>
      <c r="I97" t="s">
        <v>342</v>
      </c>
      <c r="J97" t="s">
        <v>3</v>
      </c>
      <c r="K97" t="s">
        <v>343</v>
      </c>
      <c r="L97">
        <v>1191</v>
      </c>
      <c r="N97">
        <v>1013</v>
      </c>
      <c r="O97" t="s">
        <v>227</v>
      </c>
      <c r="P97" t="s">
        <v>227</v>
      </c>
      <c r="Q97">
        <v>1</v>
      </c>
      <c r="X97">
        <v>0.81</v>
      </c>
      <c r="Y97">
        <v>0</v>
      </c>
      <c r="Z97">
        <v>0</v>
      </c>
      <c r="AA97">
        <v>0</v>
      </c>
      <c r="AB97">
        <v>12.92</v>
      </c>
      <c r="AC97">
        <v>0</v>
      </c>
      <c r="AD97">
        <v>1</v>
      </c>
      <c r="AE97">
        <v>1</v>
      </c>
      <c r="AF97" t="s">
        <v>3</v>
      </c>
      <c r="AG97">
        <v>0.81</v>
      </c>
      <c r="AH97">
        <v>2</v>
      </c>
      <c r="AI97">
        <v>34748748</v>
      </c>
      <c r="AJ97">
        <v>95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ROW(Source!A38)</f>
        <v>38</v>
      </c>
      <c r="B98">
        <v>34748749</v>
      </c>
      <c r="C98">
        <v>34748747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344</v>
      </c>
      <c r="J98" t="s">
        <v>3</v>
      </c>
      <c r="K98" t="s">
        <v>345</v>
      </c>
      <c r="L98">
        <v>1191</v>
      </c>
      <c r="N98">
        <v>1013</v>
      </c>
      <c r="O98" t="s">
        <v>227</v>
      </c>
      <c r="P98" t="s">
        <v>227</v>
      </c>
      <c r="Q98">
        <v>1</v>
      </c>
      <c r="X98">
        <v>0.81</v>
      </c>
      <c r="Y98">
        <v>0</v>
      </c>
      <c r="Z98">
        <v>0</v>
      </c>
      <c r="AA98">
        <v>0</v>
      </c>
      <c r="AB98">
        <v>12.69</v>
      </c>
      <c r="AC98">
        <v>0</v>
      </c>
      <c r="AD98">
        <v>1</v>
      </c>
      <c r="AE98">
        <v>1</v>
      </c>
      <c r="AF98" t="s">
        <v>3</v>
      </c>
      <c r="AG98">
        <v>0.81</v>
      </c>
      <c r="AH98">
        <v>2</v>
      </c>
      <c r="AI98">
        <v>34748749</v>
      </c>
      <c r="AJ98">
        <v>96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ROW(Source!A39)</f>
        <v>39</v>
      </c>
      <c r="B99">
        <v>34748748</v>
      </c>
      <c r="C99">
        <v>34748747</v>
      </c>
      <c r="D99">
        <v>32164293</v>
      </c>
      <c r="E99">
        <v>1</v>
      </c>
      <c r="F99">
        <v>1</v>
      </c>
      <c r="G99">
        <v>1</v>
      </c>
      <c r="H99">
        <v>1</v>
      </c>
      <c r="I99" t="s">
        <v>342</v>
      </c>
      <c r="J99" t="s">
        <v>3</v>
      </c>
      <c r="K99" t="s">
        <v>343</v>
      </c>
      <c r="L99">
        <v>1191</v>
      </c>
      <c r="N99">
        <v>1013</v>
      </c>
      <c r="O99" t="s">
        <v>227</v>
      </c>
      <c r="P99" t="s">
        <v>227</v>
      </c>
      <c r="Q99">
        <v>1</v>
      </c>
      <c r="X99">
        <v>0.81</v>
      </c>
      <c r="Y99">
        <v>0</v>
      </c>
      <c r="Z99">
        <v>0</v>
      </c>
      <c r="AA99">
        <v>0</v>
      </c>
      <c r="AB99">
        <v>12.92</v>
      </c>
      <c r="AC99">
        <v>0</v>
      </c>
      <c r="AD99">
        <v>1</v>
      </c>
      <c r="AE99">
        <v>1</v>
      </c>
      <c r="AF99" t="s">
        <v>3</v>
      </c>
      <c r="AG99">
        <v>0.81</v>
      </c>
      <c r="AH99">
        <v>2</v>
      </c>
      <c r="AI99">
        <v>34748748</v>
      </c>
      <c r="AJ99">
        <v>97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ROW(Source!A39)</f>
        <v>39</v>
      </c>
      <c r="B100">
        <v>34748749</v>
      </c>
      <c r="C100">
        <v>34748747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344</v>
      </c>
      <c r="J100" t="s">
        <v>3</v>
      </c>
      <c r="K100" t="s">
        <v>345</v>
      </c>
      <c r="L100">
        <v>1191</v>
      </c>
      <c r="N100">
        <v>1013</v>
      </c>
      <c r="O100" t="s">
        <v>227</v>
      </c>
      <c r="P100" t="s">
        <v>227</v>
      </c>
      <c r="Q100">
        <v>1</v>
      </c>
      <c r="X100">
        <v>0.81</v>
      </c>
      <c r="Y100">
        <v>0</v>
      </c>
      <c r="Z100">
        <v>0</v>
      </c>
      <c r="AA100">
        <v>0</v>
      </c>
      <c r="AB100">
        <v>12.69</v>
      </c>
      <c r="AC100">
        <v>0</v>
      </c>
      <c r="AD100">
        <v>1</v>
      </c>
      <c r="AE100">
        <v>1</v>
      </c>
      <c r="AF100" t="s">
        <v>3</v>
      </c>
      <c r="AG100">
        <v>0.81</v>
      </c>
      <c r="AH100">
        <v>2</v>
      </c>
      <c r="AI100">
        <v>34748749</v>
      </c>
      <c r="AJ100">
        <v>98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ROW(Source!A40)</f>
        <v>40</v>
      </c>
      <c r="B101">
        <v>34748778</v>
      </c>
      <c r="C101">
        <v>34748777</v>
      </c>
      <c r="D101">
        <v>31715651</v>
      </c>
      <c r="E101">
        <v>1</v>
      </c>
      <c r="F101">
        <v>1</v>
      </c>
      <c r="G101">
        <v>1</v>
      </c>
      <c r="H101">
        <v>1</v>
      </c>
      <c r="I101" t="s">
        <v>323</v>
      </c>
      <c r="J101" t="s">
        <v>3</v>
      </c>
      <c r="K101" t="s">
        <v>324</v>
      </c>
      <c r="L101">
        <v>1191</v>
      </c>
      <c r="N101">
        <v>1013</v>
      </c>
      <c r="O101" t="s">
        <v>227</v>
      </c>
      <c r="P101" t="s">
        <v>227</v>
      </c>
      <c r="Q101">
        <v>1</v>
      </c>
      <c r="X101">
        <v>28.59</v>
      </c>
      <c r="Y101">
        <v>0</v>
      </c>
      <c r="Z101">
        <v>0</v>
      </c>
      <c r="AA101">
        <v>0</v>
      </c>
      <c r="AB101">
        <v>9.6199999999999992</v>
      </c>
      <c r="AC101">
        <v>0</v>
      </c>
      <c r="AD101">
        <v>1</v>
      </c>
      <c r="AE101">
        <v>1</v>
      </c>
      <c r="AF101" t="s">
        <v>3</v>
      </c>
      <c r="AG101">
        <v>28.59</v>
      </c>
      <c r="AH101">
        <v>2</v>
      </c>
      <c r="AI101">
        <v>34748778</v>
      </c>
      <c r="AJ101">
        <v>99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ROW(Source!A40)</f>
        <v>40</v>
      </c>
      <c r="B102">
        <v>34748779</v>
      </c>
      <c r="C102">
        <v>34748777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230</v>
      </c>
      <c r="J102" t="s">
        <v>3</v>
      </c>
      <c r="K102" t="s">
        <v>231</v>
      </c>
      <c r="L102">
        <v>1191</v>
      </c>
      <c r="N102">
        <v>1013</v>
      </c>
      <c r="O102" t="s">
        <v>227</v>
      </c>
      <c r="P102" t="s">
        <v>227</v>
      </c>
      <c r="Q102">
        <v>1</v>
      </c>
      <c r="X102">
        <v>9.8800000000000008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3</v>
      </c>
      <c r="AG102">
        <v>9.8800000000000008</v>
      </c>
      <c r="AH102">
        <v>2</v>
      </c>
      <c r="AI102">
        <v>34748779</v>
      </c>
      <c r="AJ102">
        <v>100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ROW(Source!A40)</f>
        <v>40</v>
      </c>
      <c r="B103">
        <v>34748780</v>
      </c>
      <c r="C103">
        <v>34748777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303</v>
      </c>
      <c r="J103" t="s">
        <v>304</v>
      </c>
      <c r="K103" t="s">
        <v>305</v>
      </c>
      <c r="L103">
        <v>1368</v>
      </c>
      <c r="N103">
        <v>1011</v>
      </c>
      <c r="O103" t="s">
        <v>235</v>
      </c>
      <c r="P103" t="s">
        <v>235</v>
      </c>
      <c r="Q103">
        <v>1</v>
      </c>
      <c r="X103">
        <v>2.67</v>
      </c>
      <c r="Y103">
        <v>0</v>
      </c>
      <c r="Z103">
        <v>111.99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2.67</v>
      </c>
      <c r="AH103">
        <v>2</v>
      </c>
      <c r="AI103">
        <v>34748780</v>
      </c>
      <c r="AJ103">
        <v>101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ROW(Source!A40)</f>
        <v>40</v>
      </c>
      <c r="B104">
        <v>34748781</v>
      </c>
      <c r="C104">
        <v>34748777</v>
      </c>
      <c r="D104">
        <v>31527023</v>
      </c>
      <c r="E104">
        <v>1</v>
      </c>
      <c r="F104">
        <v>1</v>
      </c>
      <c r="G104">
        <v>1</v>
      </c>
      <c r="H104">
        <v>2</v>
      </c>
      <c r="I104" t="s">
        <v>346</v>
      </c>
      <c r="J104" t="s">
        <v>347</v>
      </c>
      <c r="K104" t="s">
        <v>348</v>
      </c>
      <c r="L104">
        <v>1368</v>
      </c>
      <c r="N104">
        <v>1011</v>
      </c>
      <c r="O104" t="s">
        <v>235</v>
      </c>
      <c r="P104" t="s">
        <v>235</v>
      </c>
      <c r="Q104">
        <v>1</v>
      </c>
      <c r="X104">
        <v>5.78</v>
      </c>
      <c r="Y104">
        <v>0</v>
      </c>
      <c r="Z104">
        <v>82.22</v>
      </c>
      <c r="AA104">
        <v>10.06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5.78</v>
      </c>
      <c r="AH104">
        <v>2</v>
      </c>
      <c r="AI104">
        <v>34748781</v>
      </c>
      <c r="AJ104">
        <v>102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ROW(Source!A40)</f>
        <v>40</v>
      </c>
      <c r="B105">
        <v>34748782</v>
      </c>
      <c r="C105">
        <v>34748777</v>
      </c>
      <c r="D105">
        <v>31528142</v>
      </c>
      <c r="E105">
        <v>1</v>
      </c>
      <c r="F105">
        <v>1</v>
      </c>
      <c r="G105">
        <v>1</v>
      </c>
      <c r="H105">
        <v>2</v>
      </c>
      <c r="I105" t="s">
        <v>306</v>
      </c>
      <c r="J105" t="s">
        <v>307</v>
      </c>
      <c r="K105" t="s">
        <v>308</v>
      </c>
      <c r="L105">
        <v>1368</v>
      </c>
      <c r="N105">
        <v>1011</v>
      </c>
      <c r="O105" t="s">
        <v>235</v>
      </c>
      <c r="P105" t="s">
        <v>235</v>
      </c>
      <c r="Q105">
        <v>1</v>
      </c>
      <c r="X105">
        <v>1.43</v>
      </c>
      <c r="Y105">
        <v>0</v>
      </c>
      <c r="Z105">
        <v>65.709999999999994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1.43</v>
      </c>
      <c r="AH105">
        <v>2</v>
      </c>
      <c r="AI105">
        <v>34748782</v>
      </c>
      <c r="AJ105">
        <v>103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ROW(Source!A40)</f>
        <v>40</v>
      </c>
      <c r="B106">
        <v>34748783</v>
      </c>
      <c r="C106">
        <v>34748777</v>
      </c>
      <c r="D106">
        <v>31441448</v>
      </c>
      <c r="E106">
        <v>17</v>
      </c>
      <c r="F106">
        <v>1</v>
      </c>
      <c r="G106">
        <v>1</v>
      </c>
      <c r="H106">
        <v>3</v>
      </c>
      <c r="I106" t="s">
        <v>351</v>
      </c>
      <c r="J106" t="s">
        <v>3</v>
      </c>
      <c r="K106" t="s">
        <v>352</v>
      </c>
      <c r="L106">
        <v>1346</v>
      </c>
      <c r="N106">
        <v>1009</v>
      </c>
      <c r="O106" t="s">
        <v>239</v>
      </c>
      <c r="P106" t="s">
        <v>239</v>
      </c>
      <c r="Q106">
        <v>1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0</v>
      </c>
      <c r="AF106" t="s">
        <v>3</v>
      </c>
      <c r="AG106">
        <v>0</v>
      </c>
      <c r="AH106">
        <v>3</v>
      </c>
      <c r="AI106">
        <v>-1</v>
      </c>
      <c r="AJ106" t="s">
        <v>3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ROW(Source!A41)</f>
        <v>41</v>
      </c>
      <c r="B107">
        <v>34748778</v>
      </c>
      <c r="C107">
        <v>34748777</v>
      </c>
      <c r="D107">
        <v>31715651</v>
      </c>
      <c r="E107">
        <v>1</v>
      </c>
      <c r="F107">
        <v>1</v>
      </c>
      <c r="G107">
        <v>1</v>
      </c>
      <c r="H107">
        <v>1</v>
      </c>
      <c r="I107" t="s">
        <v>323</v>
      </c>
      <c r="J107" t="s">
        <v>3</v>
      </c>
      <c r="K107" t="s">
        <v>324</v>
      </c>
      <c r="L107">
        <v>1191</v>
      </c>
      <c r="N107">
        <v>1013</v>
      </c>
      <c r="O107" t="s">
        <v>227</v>
      </c>
      <c r="P107" t="s">
        <v>227</v>
      </c>
      <c r="Q107">
        <v>1</v>
      </c>
      <c r="X107">
        <v>28.59</v>
      </c>
      <c r="Y107">
        <v>0</v>
      </c>
      <c r="Z107">
        <v>0</v>
      </c>
      <c r="AA107">
        <v>0</v>
      </c>
      <c r="AB107">
        <v>9.6199999999999992</v>
      </c>
      <c r="AC107">
        <v>0</v>
      </c>
      <c r="AD107">
        <v>1</v>
      </c>
      <c r="AE107">
        <v>1</v>
      </c>
      <c r="AF107" t="s">
        <v>3</v>
      </c>
      <c r="AG107">
        <v>28.59</v>
      </c>
      <c r="AH107">
        <v>2</v>
      </c>
      <c r="AI107">
        <v>34748778</v>
      </c>
      <c r="AJ107">
        <v>104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ROW(Source!A41)</f>
        <v>41</v>
      </c>
      <c r="B108">
        <v>34748779</v>
      </c>
      <c r="C108">
        <v>34748777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230</v>
      </c>
      <c r="J108" t="s">
        <v>3</v>
      </c>
      <c r="K108" t="s">
        <v>231</v>
      </c>
      <c r="L108">
        <v>1191</v>
      </c>
      <c r="N108">
        <v>1013</v>
      </c>
      <c r="O108" t="s">
        <v>227</v>
      </c>
      <c r="P108" t="s">
        <v>227</v>
      </c>
      <c r="Q108">
        <v>1</v>
      </c>
      <c r="X108">
        <v>9.8800000000000008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F108" t="s">
        <v>3</v>
      </c>
      <c r="AG108">
        <v>9.8800000000000008</v>
      </c>
      <c r="AH108">
        <v>2</v>
      </c>
      <c r="AI108">
        <v>34748779</v>
      </c>
      <c r="AJ108">
        <v>105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ROW(Source!A41)</f>
        <v>41</v>
      </c>
      <c r="B109">
        <v>34748780</v>
      </c>
      <c r="C109">
        <v>34748777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303</v>
      </c>
      <c r="J109" t="s">
        <v>304</v>
      </c>
      <c r="K109" t="s">
        <v>305</v>
      </c>
      <c r="L109">
        <v>1368</v>
      </c>
      <c r="N109">
        <v>1011</v>
      </c>
      <c r="O109" t="s">
        <v>235</v>
      </c>
      <c r="P109" t="s">
        <v>235</v>
      </c>
      <c r="Q109">
        <v>1</v>
      </c>
      <c r="X109">
        <v>2.67</v>
      </c>
      <c r="Y109">
        <v>0</v>
      </c>
      <c r="Z109">
        <v>111.99</v>
      </c>
      <c r="AA109">
        <v>13.5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2.67</v>
      </c>
      <c r="AH109">
        <v>2</v>
      </c>
      <c r="AI109">
        <v>34748780</v>
      </c>
      <c r="AJ109">
        <v>106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ROW(Source!A41)</f>
        <v>41</v>
      </c>
      <c r="B110">
        <v>34748781</v>
      </c>
      <c r="C110">
        <v>34748777</v>
      </c>
      <c r="D110">
        <v>31527023</v>
      </c>
      <c r="E110">
        <v>1</v>
      </c>
      <c r="F110">
        <v>1</v>
      </c>
      <c r="G110">
        <v>1</v>
      </c>
      <c r="H110">
        <v>2</v>
      </c>
      <c r="I110" t="s">
        <v>346</v>
      </c>
      <c r="J110" t="s">
        <v>347</v>
      </c>
      <c r="K110" t="s">
        <v>348</v>
      </c>
      <c r="L110">
        <v>1368</v>
      </c>
      <c r="N110">
        <v>1011</v>
      </c>
      <c r="O110" t="s">
        <v>235</v>
      </c>
      <c r="P110" t="s">
        <v>235</v>
      </c>
      <c r="Q110">
        <v>1</v>
      </c>
      <c r="X110">
        <v>5.78</v>
      </c>
      <c r="Y110">
        <v>0</v>
      </c>
      <c r="Z110">
        <v>82.22</v>
      </c>
      <c r="AA110">
        <v>10.06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5.78</v>
      </c>
      <c r="AH110">
        <v>2</v>
      </c>
      <c r="AI110">
        <v>34748781</v>
      </c>
      <c r="AJ110">
        <v>107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ROW(Source!A41)</f>
        <v>41</v>
      </c>
      <c r="B111">
        <v>34748782</v>
      </c>
      <c r="C111">
        <v>34748777</v>
      </c>
      <c r="D111">
        <v>31528142</v>
      </c>
      <c r="E111">
        <v>1</v>
      </c>
      <c r="F111">
        <v>1</v>
      </c>
      <c r="G111">
        <v>1</v>
      </c>
      <c r="H111">
        <v>2</v>
      </c>
      <c r="I111" t="s">
        <v>306</v>
      </c>
      <c r="J111" t="s">
        <v>307</v>
      </c>
      <c r="K111" t="s">
        <v>308</v>
      </c>
      <c r="L111">
        <v>1368</v>
      </c>
      <c r="N111">
        <v>1011</v>
      </c>
      <c r="O111" t="s">
        <v>235</v>
      </c>
      <c r="P111" t="s">
        <v>235</v>
      </c>
      <c r="Q111">
        <v>1</v>
      </c>
      <c r="X111">
        <v>1.43</v>
      </c>
      <c r="Y111">
        <v>0</v>
      </c>
      <c r="Z111">
        <v>65.709999999999994</v>
      </c>
      <c r="AA111">
        <v>11.6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1.43</v>
      </c>
      <c r="AH111">
        <v>2</v>
      </c>
      <c r="AI111">
        <v>34748782</v>
      </c>
      <c r="AJ111">
        <v>108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ROW(Source!A41)</f>
        <v>41</v>
      </c>
      <c r="B112">
        <v>34748783</v>
      </c>
      <c r="C112">
        <v>34748777</v>
      </c>
      <c r="D112">
        <v>31441448</v>
      </c>
      <c r="E112">
        <v>17</v>
      </c>
      <c r="F112">
        <v>1</v>
      </c>
      <c r="G112">
        <v>1</v>
      </c>
      <c r="H112">
        <v>3</v>
      </c>
      <c r="I112" t="s">
        <v>351</v>
      </c>
      <c r="J112" t="s">
        <v>3</v>
      </c>
      <c r="K112" t="s">
        <v>352</v>
      </c>
      <c r="L112">
        <v>1346</v>
      </c>
      <c r="N112">
        <v>1009</v>
      </c>
      <c r="O112" t="s">
        <v>239</v>
      </c>
      <c r="P112" t="s">
        <v>239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3.Оборудование</vt:lpstr>
      <vt:lpstr>2.Материалы</vt:lpstr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'2.Материалы'!Заголовки_для_печати</vt:lpstr>
      <vt:lpstr>'3.Оборудование'!Заголовки_для_печати</vt:lpstr>
      <vt:lpstr>'1.Лок.смета.и.Акт'!Область_печати</vt:lpstr>
      <vt:lpstr>'2.Материалы'!Область_печати</vt:lpstr>
      <vt:lpstr>'3.Оборудование'!Область_печати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2019-05-16T09:58:18Z</dcterms:created>
  <dcterms:modified xsi:type="dcterms:W3CDTF">2019-05-16T09:59:29Z</dcterms:modified>
</cp:coreProperties>
</file>